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HD Network\Data &amp; Dashboard\2022\1. March 2022\"/>
    </mc:Choice>
  </mc:AlternateContent>
  <xr:revisionPtr revIDLastSave="0" documentId="13_ncr:1_{1D679019-8797-4A6E-940B-D6BDB56ADD56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r:id="rId6"/>
    <sheet name="Q2 PAEDS" sheetId="47" r:id="rId7"/>
    <sheet name="Q2 Graphs" sheetId="55" r:id="rId8"/>
    <sheet name="Q3 ADULTS" sheetId="51" r:id="rId9"/>
    <sheet name="Q3 PAEDS" sheetId="53" r:id="rId10"/>
    <sheet name="Q3 Graphs" sheetId="56" r:id="rId11"/>
    <sheet name="Q4 ADULTS" sheetId="52" state="hidden" r:id="rId12"/>
    <sheet name="Q4 PAEDS" sheetId="54" state="hidden" r:id="rId13"/>
    <sheet name="Q4 Graphs" sheetId="57" state="hidden" r:id="rId14"/>
    <sheet name="Y2D Adult OP" sheetId="2" r:id="rId15"/>
    <sheet name="Y2D Paeds OP" sheetId="6" r:id="rId16"/>
    <sheet name="Graph data Q3" sheetId="49" state="hidden" r:id="rId17"/>
    <sheet name="Data" sheetId="4" state="hidden" r:id="rId18"/>
    <sheet name="Graph data Q1" sheetId="44" state="hidden" r:id="rId19"/>
    <sheet name="Graph data Q2" sheetId="48" state="hidden" r:id="rId20"/>
    <sheet name="Graph data Q4" sheetId="50" state="hidden" r:id="rId21"/>
    <sheet name="Graph data Y2D" sheetId="30" state="hidden" r:id="rId22"/>
    <sheet name="Control" sheetId="3" state="hidden" r:id="rId23"/>
  </sheets>
  <externalReferences>
    <externalReference r:id="rId24"/>
  </externalReferences>
  <definedNames>
    <definedName name="_xlnm._FilterDatabase" localSheetId="18" hidden="1">'Graph data Q1'!$A$9:$E$9</definedName>
    <definedName name="_xlnm._FilterDatabase" localSheetId="2" hidden="1">'Q1 ADULTS'!$B$5:$AA$25</definedName>
    <definedName name="_xlnm._FilterDatabase" localSheetId="3" hidden="1">'Q1 PAEDS'!$B$5:$AA$25</definedName>
    <definedName name="_xlnm._FilterDatabase" localSheetId="5" hidden="1">'Q2 ADULTS'!$B$5:$AA$25</definedName>
    <definedName name="_xlnm._FilterDatabase" localSheetId="6" hidden="1">'Q2 PAEDS'!$B$5:$AA$25</definedName>
    <definedName name="_xlnm._FilterDatabase" localSheetId="8" hidden="1">'Q3 ADULTS'!$B$5:$AA$25</definedName>
    <definedName name="_xlnm._FilterDatabase" localSheetId="9" hidden="1">'Q3 PAEDS'!$B$5:$AA$25</definedName>
    <definedName name="_xlnm._FilterDatabase" localSheetId="11" hidden="1">'Q4 ADULTS'!$B$5:$AA$25</definedName>
    <definedName name="_xlnm._FilterDatabase" localSheetId="12" hidden="1">'Q4 PAEDS'!$B$5:$AA$25</definedName>
    <definedName name="AdultChoice">Control!$B$19</definedName>
    <definedName name="PaedChoice">Control!$B$40</definedName>
    <definedName name="Q1_Adult">Data!$A$3:$V$24</definedName>
    <definedName name="Q1_Paeds">Data!$A$28:$V$49</definedName>
    <definedName name="Q2_Adult">Data!$A$54:$V$75</definedName>
    <definedName name="Q2_Paeds">Data!$A$79:$V$100</definedName>
    <definedName name="Q3_Adult">Data!$A$105:$V$126</definedName>
    <definedName name="Q3_Paeds">Data!$A$130:$V$151</definedName>
    <definedName name="Q4_Adult">Data!$A$156:$V$177</definedName>
    <definedName name="Q4_Paeds">Data!$A$181:$V$202</definedName>
    <definedName name="Table1">Data!$A$3:$V$49</definedName>
    <definedName name="Table2">Data!$A$152:$V$172</definedName>
    <definedName name="Table3">Data!$A$177:$V$197</definedName>
    <definedName name="Table4">Data!$A$202:$V$206</definedName>
    <definedName name="Table5">Data!$A$209:$V$231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4" l="1"/>
  <c r="I65" i="4"/>
  <c r="V68" i="4" l="1"/>
  <c r="R68" i="4"/>
  <c r="Q68" i="4"/>
  <c r="P68" i="4"/>
  <c r="O68" i="4"/>
  <c r="H68" i="4"/>
  <c r="O98" i="50" l="1"/>
  <c r="K98" i="50"/>
  <c r="G98" i="50"/>
  <c r="C98" i="50"/>
  <c r="O97" i="50"/>
  <c r="K97" i="50"/>
  <c r="G97" i="50"/>
  <c r="C97" i="50"/>
  <c r="O96" i="50"/>
  <c r="K96" i="50"/>
  <c r="G96" i="50"/>
  <c r="C96" i="50"/>
  <c r="O95" i="50"/>
  <c r="K95" i="50"/>
  <c r="G95" i="50"/>
  <c r="C95" i="50"/>
  <c r="O94" i="50"/>
  <c r="K94" i="50"/>
  <c r="G94" i="50"/>
  <c r="C94" i="50"/>
  <c r="O93" i="50"/>
  <c r="K93" i="50"/>
  <c r="G93" i="50"/>
  <c r="C93" i="50"/>
  <c r="O92" i="50"/>
  <c r="K92" i="50"/>
  <c r="G92" i="50"/>
  <c r="C92" i="50"/>
  <c r="O91" i="50"/>
  <c r="K91" i="50"/>
  <c r="G91" i="50"/>
  <c r="C91" i="50"/>
  <c r="O90" i="50"/>
  <c r="K90" i="50"/>
  <c r="G90" i="50"/>
  <c r="C90" i="50"/>
  <c r="O89" i="50"/>
  <c r="K89" i="50"/>
  <c r="G89" i="50"/>
  <c r="C89" i="50"/>
  <c r="O88" i="50"/>
  <c r="K88" i="50"/>
  <c r="G88" i="50"/>
  <c r="C88" i="50"/>
  <c r="O87" i="50"/>
  <c r="K87" i="50"/>
  <c r="G87" i="50"/>
  <c r="C87" i="50"/>
  <c r="O86" i="50"/>
  <c r="K86" i="50"/>
  <c r="G86" i="50"/>
  <c r="C86" i="50"/>
  <c r="O85" i="50"/>
  <c r="K85" i="50"/>
  <c r="G85" i="50"/>
  <c r="C85" i="50"/>
  <c r="O84" i="50"/>
  <c r="K84" i="50"/>
  <c r="G84" i="50"/>
  <c r="C84" i="50"/>
  <c r="O83" i="50"/>
  <c r="K83" i="50"/>
  <c r="G83" i="50"/>
  <c r="C83" i="50"/>
  <c r="O82" i="50"/>
  <c r="K82" i="50"/>
  <c r="G82" i="50"/>
  <c r="C82" i="50"/>
  <c r="O81" i="50"/>
  <c r="K81" i="50"/>
  <c r="B104" i="50" s="1"/>
  <c r="G81" i="50"/>
  <c r="C81" i="50"/>
  <c r="O80" i="50"/>
  <c r="K80" i="50"/>
  <c r="G80" i="50"/>
  <c r="C80" i="50"/>
  <c r="L75" i="50"/>
  <c r="K75" i="50"/>
  <c r="J75" i="50"/>
  <c r="M75" i="50" s="1"/>
  <c r="E75" i="50"/>
  <c r="D75" i="50"/>
  <c r="C75" i="50"/>
  <c r="F75" i="50" s="1"/>
  <c r="L74" i="50"/>
  <c r="K74" i="50"/>
  <c r="J74" i="50"/>
  <c r="M74" i="50" s="1"/>
  <c r="E74" i="50"/>
  <c r="D74" i="50"/>
  <c r="C74" i="50"/>
  <c r="F74" i="50" s="1"/>
  <c r="L73" i="50"/>
  <c r="K73" i="50"/>
  <c r="J73" i="50"/>
  <c r="M73" i="50" s="1"/>
  <c r="E73" i="50"/>
  <c r="D73" i="50"/>
  <c r="C73" i="50"/>
  <c r="F73" i="50" s="1"/>
  <c r="L72" i="50"/>
  <c r="K72" i="50"/>
  <c r="J72" i="50"/>
  <c r="M72" i="50" s="1"/>
  <c r="E72" i="50"/>
  <c r="D72" i="50"/>
  <c r="C72" i="50"/>
  <c r="F72" i="50" s="1"/>
  <c r="L71" i="50"/>
  <c r="K71" i="50"/>
  <c r="J71" i="50"/>
  <c r="M71" i="50" s="1"/>
  <c r="E71" i="50"/>
  <c r="D71" i="50"/>
  <c r="C71" i="50"/>
  <c r="F71" i="50" s="1"/>
  <c r="L70" i="50"/>
  <c r="K70" i="50"/>
  <c r="J70" i="50"/>
  <c r="M70" i="50" s="1"/>
  <c r="E70" i="50"/>
  <c r="D70" i="50"/>
  <c r="C70" i="50"/>
  <c r="F70" i="50" s="1"/>
  <c r="L69" i="50"/>
  <c r="K69" i="50"/>
  <c r="J69" i="50"/>
  <c r="M69" i="50" s="1"/>
  <c r="E69" i="50"/>
  <c r="D69" i="50"/>
  <c r="C69" i="50"/>
  <c r="F69" i="50" s="1"/>
  <c r="L68" i="50"/>
  <c r="K68" i="50"/>
  <c r="J68" i="50"/>
  <c r="M68" i="50" s="1"/>
  <c r="E68" i="50"/>
  <c r="D68" i="50"/>
  <c r="C68" i="50"/>
  <c r="F68" i="50" s="1"/>
  <c r="L67" i="50"/>
  <c r="K67" i="50"/>
  <c r="J67" i="50"/>
  <c r="M67" i="50" s="1"/>
  <c r="E67" i="50"/>
  <c r="D67" i="50"/>
  <c r="C67" i="50"/>
  <c r="F67" i="50" s="1"/>
  <c r="L66" i="50"/>
  <c r="K66" i="50"/>
  <c r="J66" i="50"/>
  <c r="M66" i="50" s="1"/>
  <c r="E66" i="50"/>
  <c r="D66" i="50"/>
  <c r="C66" i="50"/>
  <c r="F66" i="50" s="1"/>
  <c r="L65" i="50"/>
  <c r="K65" i="50"/>
  <c r="J65" i="50"/>
  <c r="M65" i="50" s="1"/>
  <c r="E65" i="50"/>
  <c r="D65" i="50"/>
  <c r="C65" i="50"/>
  <c r="F65" i="50" s="1"/>
  <c r="L64" i="50"/>
  <c r="K64" i="50"/>
  <c r="J64" i="50"/>
  <c r="M64" i="50" s="1"/>
  <c r="E64" i="50"/>
  <c r="D64" i="50"/>
  <c r="C64" i="50"/>
  <c r="F64" i="50" s="1"/>
  <c r="L63" i="50"/>
  <c r="K63" i="50"/>
  <c r="J63" i="50"/>
  <c r="M63" i="50" s="1"/>
  <c r="E63" i="50"/>
  <c r="D63" i="50"/>
  <c r="C63" i="50"/>
  <c r="F63" i="50" s="1"/>
  <c r="L62" i="50"/>
  <c r="K62" i="50"/>
  <c r="J62" i="50"/>
  <c r="M62" i="50" s="1"/>
  <c r="E62" i="50"/>
  <c r="D62" i="50"/>
  <c r="C62" i="50"/>
  <c r="F62" i="50" s="1"/>
  <c r="L61" i="50"/>
  <c r="K61" i="50"/>
  <c r="J61" i="50"/>
  <c r="M61" i="50" s="1"/>
  <c r="E61" i="50"/>
  <c r="D61" i="50"/>
  <c r="C61" i="50"/>
  <c r="F61" i="50" s="1"/>
  <c r="L60" i="50"/>
  <c r="K60" i="50"/>
  <c r="J60" i="50"/>
  <c r="M60" i="50" s="1"/>
  <c r="E60" i="50"/>
  <c r="D60" i="50"/>
  <c r="C60" i="50"/>
  <c r="F60" i="50" s="1"/>
  <c r="L59" i="50"/>
  <c r="K59" i="50"/>
  <c r="J59" i="50"/>
  <c r="M59" i="50" s="1"/>
  <c r="E59" i="50"/>
  <c r="D59" i="50"/>
  <c r="C59" i="50"/>
  <c r="F59" i="50" s="1"/>
  <c r="L58" i="50"/>
  <c r="K58" i="50"/>
  <c r="J58" i="50"/>
  <c r="M58" i="50" s="1"/>
  <c r="E58" i="50"/>
  <c r="D58" i="50"/>
  <c r="C58" i="50"/>
  <c r="F58" i="50" s="1"/>
  <c r="L53" i="50"/>
  <c r="K53" i="50"/>
  <c r="J53" i="50"/>
  <c r="M53" i="50" s="1"/>
  <c r="E53" i="50"/>
  <c r="D53" i="50"/>
  <c r="C53" i="50"/>
  <c r="F53" i="50" s="1"/>
  <c r="L52" i="50"/>
  <c r="K52" i="50"/>
  <c r="J52" i="50"/>
  <c r="M52" i="50" s="1"/>
  <c r="E52" i="50"/>
  <c r="D52" i="50"/>
  <c r="C52" i="50"/>
  <c r="F52" i="50" s="1"/>
  <c r="L51" i="50"/>
  <c r="K51" i="50"/>
  <c r="J51" i="50"/>
  <c r="M51" i="50" s="1"/>
  <c r="E51" i="50"/>
  <c r="D51" i="50"/>
  <c r="C51" i="50"/>
  <c r="F51" i="50" s="1"/>
  <c r="L50" i="50"/>
  <c r="K50" i="50"/>
  <c r="J50" i="50"/>
  <c r="M50" i="50" s="1"/>
  <c r="E50" i="50"/>
  <c r="D50" i="50"/>
  <c r="C50" i="50"/>
  <c r="F50" i="50" s="1"/>
  <c r="L49" i="50"/>
  <c r="K49" i="50"/>
  <c r="J49" i="50"/>
  <c r="M49" i="50" s="1"/>
  <c r="E49" i="50"/>
  <c r="D49" i="50"/>
  <c r="C49" i="50"/>
  <c r="F49" i="50" s="1"/>
  <c r="L48" i="50"/>
  <c r="K48" i="50"/>
  <c r="J48" i="50"/>
  <c r="M48" i="50" s="1"/>
  <c r="E48" i="50"/>
  <c r="D48" i="50"/>
  <c r="C48" i="50"/>
  <c r="F48" i="50" s="1"/>
  <c r="L47" i="50"/>
  <c r="K47" i="50"/>
  <c r="J47" i="50"/>
  <c r="M47" i="50" s="1"/>
  <c r="E47" i="50"/>
  <c r="D47" i="50"/>
  <c r="C47" i="50"/>
  <c r="F47" i="50" s="1"/>
  <c r="L46" i="50"/>
  <c r="K46" i="50"/>
  <c r="J46" i="50"/>
  <c r="M46" i="50" s="1"/>
  <c r="E46" i="50"/>
  <c r="D46" i="50"/>
  <c r="C46" i="50"/>
  <c r="F46" i="50" s="1"/>
  <c r="L45" i="50"/>
  <c r="K45" i="50"/>
  <c r="J45" i="50"/>
  <c r="M45" i="50" s="1"/>
  <c r="E45" i="50"/>
  <c r="D45" i="50"/>
  <c r="C45" i="50"/>
  <c r="F45" i="50" s="1"/>
  <c r="L44" i="50"/>
  <c r="K44" i="50"/>
  <c r="J44" i="50"/>
  <c r="M44" i="50" s="1"/>
  <c r="E44" i="50"/>
  <c r="D44" i="50"/>
  <c r="C44" i="50"/>
  <c r="F44" i="50" s="1"/>
  <c r="L43" i="50"/>
  <c r="K43" i="50"/>
  <c r="J43" i="50"/>
  <c r="M43" i="50" s="1"/>
  <c r="E43" i="50"/>
  <c r="D43" i="50"/>
  <c r="C43" i="50"/>
  <c r="F43" i="50" s="1"/>
  <c r="L42" i="50"/>
  <c r="K42" i="50"/>
  <c r="J42" i="50"/>
  <c r="M42" i="50" s="1"/>
  <c r="E42" i="50"/>
  <c r="D42" i="50"/>
  <c r="C42" i="50"/>
  <c r="F42" i="50" s="1"/>
  <c r="L41" i="50"/>
  <c r="K41" i="50"/>
  <c r="J41" i="50"/>
  <c r="M41" i="50" s="1"/>
  <c r="E41" i="50"/>
  <c r="D41" i="50"/>
  <c r="C41" i="50"/>
  <c r="F41" i="50" s="1"/>
  <c r="L40" i="50"/>
  <c r="K40" i="50"/>
  <c r="J40" i="50"/>
  <c r="M40" i="50" s="1"/>
  <c r="E40" i="50"/>
  <c r="D40" i="50"/>
  <c r="C40" i="50"/>
  <c r="F40" i="50" s="1"/>
  <c r="L39" i="50"/>
  <c r="K39" i="50"/>
  <c r="J39" i="50"/>
  <c r="M39" i="50" s="1"/>
  <c r="E39" i="50"/>
  <c r="D39" i="50"/>
  <c r="C39" i="50"/>
  <c r="F39" i="50" s="1"/>
  <c r="L38" i="50"/>
  <c r="K38" i="50"/>
  <c r="J38" i="50"/>
  <c r="M38" i="50" s="1"/>
  <c r="E38" i="50"/>
  <c r="D38" i="50"/>
  <c r="C38" i="50"/>
  <c r="F38" i="50" s="1"/>
  <c r="L37" i="50"/>
  <c r="K37" i="50"/>
  <c r="J37" i="50"/>
  <c r="M37" i="50" s="1"/>
  <c r="E37" i="50"/>
  <c r="D37" i="50"/>
  <c r="C37" i="50"/>
  <c r="F37" i="50" s="1"/>
  <c r="L36" i="50"/>
  <c r="K36" i="50"/>
  <c r="J36" i="50"/>
  <c r="M36" i="50" s="1"/>
  <c r="E36" i="50"/>
  <c r="D36" i="50"/>
  <c r="C36" i="50"/>
  <c r="F36" i="50" s="1"/>
  <c r="K27" i="50"/>
  <c r="J27" i="50"/>
  <c r="L27" i="50" s="1"/>
  <c r="D27" i="50"/>
  <c r="C27" i="50"/>
  <c r="E27" i="50" s="1"/>
  <c r="K26" i="50"/>
  <c r="J26" i="50"/>
  <c r="L26" i="50" s="1"/>
  <c r="D26" i="50"/>
  <c r="C26" i="50"/>
  <c r="E26" i="50" s="1"/>
  <c r="K25" i="50"/>
  <c r="J25" i="50"/>
  <c r="L25" i="50" s="1"/>
  <c r="D25" i="50"/>
  <c r="C25" i="50"/>
  <c r="E25" i="50" s="1"/>
  <c r="K24" i="50"/>
  <c r="J24" i="50"/>
  <c r="L24" i="50" s="1"/>
  <c r="D24" i="50"/>
  <c r="C24" i="50"/>
  <c r="E24" i="50" s="1"/>
  <c r="K23" i="50"/>
  <c r="J23" i="50"/>
  <c r="L23" i="50" s="1"/>
  <c r="D23" i="50"/>
  <c r="C23" i="50"/>
  <c r="E23" i="50" s="1"/>
  <c r="K22" i="50"/>
  <c r="J22" i="50"/>
  <c r="L22" i="50" s="1"/>
  <c r="D22" i="50"/>
  <c r="C22" i="50"/>
  <c r="E22" i="50" s="1"/>
  <c r="K21" i="50"/>
  <c r="J21" i="50"/>
  <c r="L21" i="50" s="1"/>
  <c r="D21" i="50"/>
  <c r="C21" i="50"/>
  <c r="E21" i="50" s="1"/>
  <c r="K20" i="50"/>
  <c r="J20" i="50"/>
  <c r="L20" i="50" s="1"/>
  <c r="D20" i="50"/>
  <c r="C20" i="50"/>
  <c r="E20" i="50" s="1"/>
  <c r="K19" i="50"/>
  <c r="J19" i="50"/>
  <c r="L19" i="50" s="1"/>
  <c r="D19" i="50"/>
  <c r="C19" i="50"/>
  <c r="E19" i="50" s="1"/>
  <c r="K18" i="50"/>
  <c r="J18" i="50"/>
  <c r="L18" i="50" s="1"/>
  <c r="D18" i="50"/>
  <c r="C18" i="50"/>
  <c r="E18" i="50" s="1"/>
  <c r="K17" i="50"/>
  <c r="J17" i="50"/>
  <c r="L17" i="50" s="1"/>
  <c r="D17" i="50"/>
  <c r="C17" i="50"/>
  <c r="E17" i="50" s="1"/>
  <c r="K16" i="50"/>
  <c r="J16" i="50"/>
  <c r="L16" i="50" s="1"/>
  <c r="D16" i="50"/>
  <c r="C16" i="50"/>
  <c r="E16" i="50" s="1"/>
  <c r="K15" i="50"/>
  <c r="J15" i="50"/>
  <c r="L15" i="50" s="1"/>
  <c r="D15" i="50"/>
  <c r="C15" i="50"/>
  <c r="E15" i="50" s="1"/>
  <c r="K14" i="50"/>
  <c r="J14" i="50"/>
  <c r="L14" i="50" s="1"/>
  <c r="D14" i="50"/>
  <c r="C14" i="50"/>
  <c r="E14" i="50" s="1"/>
  <c r="K13" i="50"/>
  <c r="J13" i="50"/>
  <c r="L13" i="50" s="1"/>
  <c r="D13" i="50"/>
  <c r="C13" i="50"/>
  <c r="E13" i="50" s="1"/>
  <c r="K12" i="50"/>
  <c r="J12" i="50"/>
  <c r="L12" i="50" s="1"/>
  <c r="D12" i="50"/>
  <c r="C12" i="50"/>
  <c r="E12" i="50" s="1"/>
  <c r="K11" i="50"/>
  <c r="J11" i="50"/>
  <c r="L11" i="50" s="1"/>
  <c r="D11" i="50"/>
  <c r="C11" i="50"/>
  <c r="E11" i="50" s="1"/>
  <c r="K10" i="50"/>
  <c r="J10" i="50"/>
  <c r="L10" i="50" s="1"/>
  <c r="D10" i="50"/>
  <c r="C10" i="50"/>
  <c r="E10" i="50" s="1"/>
  <c r="O98" i="44"/>
  <c r="K98" i="44"/>
  <c r="G98" i="44"/>
  <c r="C98" i="44"/>
  <c r="O97" i="44"/>
  <c r="K97" i="44"/>
  <c r="G97" i="44"/>
  <c r="C97" i="44"/>
  <c r="O96" i="44"/>
  <c r="K96" i="44"/>
  <c r="G96" i="44"/>
  <c r="C96" i="44"/>
  <c r="O95" i="44"/>
  <c r="K95" i="44"/>
  <c r="G95" i="44"/>
  <c r="C95" i="44"/>
  <c r="O94" i="44"/>
  <c r="K94" i="44"/>
  <c r="G94" i="44"/>
  <c r="C94" i="44"/>
  <c r="O93" i="44"/>
  <c r="K93" i="44"/>
  <c r="G93" i="44"/>
  <c r="C93" i="44"/>
  <c r="O92" i="44"/>
  <c r="K92" i="44"/>
  <c r="G92" i="44"/>
  <c r="C92" i="44"/>
  <c r="O91" i="44"/>
  <c r="K91" i="44"/>
  <c r="G91" i="44"/>
  <c r="C91" i="44"/>
  <c r="O90" i="44"/>
  <c r="K90" i="44"/>
  <c r="G90" i="44"/>
  <c r="C90" i="44"/>
  <c r="O89" i="44"/>
  <c r="K89" i="44"/>
  <c r="G89" i="44"/>
  <c r="C89" i="44"/>
  <c r="O88" i="44"/>
  <c r="K88" i="44"/>
  <c r="G88" i="44"/>
  <c r="C88" i="44"/>
  <c r="O87" i="44"/>
  <c r="K87" i="44"/>
  <c r="G87" i="44"/>
  <c r="C87" i="44"/>
  <c r="O86" i="44"/>
  <c r="K86" i="44"/>
  <c r="G86" i="44"/>
  <c r="C86" i="44"/>
  <c r="O85" i="44"/>
  <c r="K85" i="44"/>
  <c r="G85" i="44"/>
  <c r="C85" i="44"/>
  <c r="O84" i="44"/>
  <c r="K84" i="44"/>
  <c r="G84" i="44"/>
  <c r="C84" i="44"/>
  <c r="O83" i="44"/>
  <c r="K83" i="44"/>
  <c r="G83" i="44"/>
  <c r="C83" i="44"/>
  <c r="O82" i="44"/>
  <c r="K82" i="44"/>
  <c r="G82" i="44"/>
  <c r="C82" i="44"/>
  <c r="O81" i="44"/>
  <c r="K81" i="44"/>
  <c r="G81" i="44"/>
  <c r="C81" i="44"/>
  <c r="O80" i="44"/>
  <c r="K80" i="44"/>
  <c r="G80" i="44"/>
  <c r="C80" i="44"/>
  <c r="L75" i="44"/>
  <c r="K75" i="44"/>
  <c r="J75" i="44"/>
  <c r="E75" i="44"/>
  <c r="D75" i="44"/>
  <c r="C75" i="44"/>
  <c r="L74" i="44"/>
  <c r="K74" i="44"/>
  <c r="J74" i="44"/>
  <c r="E74" i="44"/>
  <c r="D74" i="44"/>
  <c r="C74" i="44"/>
  <c r="L73" i="44"/>
  <c r="K73" i="44"/>
  <c r="J73" i="44"/>
  <c r="E73" i="44"/>
  <c r="D73" i="44"/>
  <c r="C73" i="44"/>
  <c r="L72" i="44"/>
  <c r="K72" i="44"/>
  <c r="J72" i="44"/>
  <c r="E72" i="44"/>
  <c r="D72" i="44"/>
  <c r="C72" i="44"/>
  <c r="L71" i="44"/>
  <c r="K71" i="44"/>
  <c r="J71" i="44"/>
  <c r="E71" i="44"/>
  <c r="D71" i="44"/>
  <c r="C71" i="44"/>
  <c r="L70" i="44"/>
  <c r="K70" i="44"/>
  <c r="J70" i="44"/>
  <c r="E70" i="44"/>
  <c r="D70" i="44"/>
  <c r="C70" i="44"/>
  <c r="L69" i="44"/>
  <c r="K69" i="44"/>
  <c r="J69" i="44"/>
  <c r="E69" i="44"/>
  <c r="D69" i="44"/>
  <c r="C69" i="44"/>
  <c r="L68" i="44"/>
  <c r="K68" i="44"/>
  <c r="J68" i="44"/>
  <c r="E68" i="44"/>
  <c r="D68" i="44"/>
  <c r="C68" i="44"/>
  <c r="L67" i="44"/>
  <c r="K67" i="44"/>
  <c r="J67" i="44"/>
  <c r="E67" i="44"/>
  <c r="D67" i="44"/>
  <c r="C67" i="44"/>
  <c r="L66" i="44"/>
  <c r="K66" i="44"/>
  <c r="J66" i="44"/>
  <c r="E66" i="44"/>
  <c r="D66" i="44"/>
  <c r="C66" i="44"/>
  <c r="L65" i="44"/>
  <c r="K65" i="44"/>
  <c r="J65" i="44"/>
  <c r="M65" i="44" s="1"/>
  <c r="E65" i="44"/>
  <c r="D65" i="44"/>
  <c r="C65" i="44"/>
  <c r="L64" i="44"/>
  <c r="K64" i="44"/>
  <c r="J64" i="44"/>
  <c r="M64" i="44" s="1"/>
  <c r="E64" i="44"/>
  <c r="D64" i="44"/>
  <c r="C64" i="44"/>
  <c r="L63" i="44"/>
  <c r="K63" i="44"/>
  <c r="J63" i="44"/>
  <c r="M63" i="44" s="1"/>
  <c r="E63" i="44"/>
  <c r="D63" i="44"/>
  <c r="C63" i="44"/>
  <c r="L62" i="44"/>
  <c r="K62" i="44"/>
  <c r="J62" i="44"/>
  <c r="M62" i="44" s="1"/>
  <c r="E62" i="44"/>
  <c r="D62" i="44"/>
  <c r="C62" i="44"/>
  <c r="L61" i="44"/>
  <c r="K61" i="44"/>
  <c r="J61" i="44"/>
  <c r="M61" i="44" s="1"/>
  <c r="E61" i="44"/>
  <c r="D61" i="44"/>
  <c r="C61" i="44"/>
  <c r="L60" i="44"/>
  <c r="K60" i="44"/>
  <c r="J60" i="44"/>
  <c r="M60" i="44" s="1"/>
  <c r="E60" i="44"/>
  <c r="D60" i="44"/>
  <c r="C60" i="44"/>
  <c r="F60" i="44" s="1"/>
  <c r="L59" i="44"/>
  <c r="K59" i="44"/>
  <c r="J59" i="44"/>
  <c r="M59" i="44" s="1"/>
  <c r="E59" i="44"/>
  <c r="D59" i="44"/>
  <c r="C59" i="44"/>
  <c r="F59" i="44" s="1"/>
  <c r="L58" i="44"/>
  <c r="K58" i="44"/>
  <c r="J58" i="44"/>
  <c r="M58" i="44" s="1"/>
  <c r="E58" i="44"/>
  <c r="D58" i="44"/>
  <c r="C58" i="44"/>
  <c r="F58" i="44" s="1"/>
  <c r="L53" i="44"/>
  <c r="K53" i="44"/>
  <c r="J53" i="44"/>
  <c r="E53" i="44"/>
  <c r="D53" i="44"/>
  <c r="C53" i="44"/>
  <c r="L52" i="44"/>
  <c r="K52" i="44"/>
  <c r="J52" i="44"/>
  <c r="E52" i="44"/>
  <c r="D52" i="44"/>
  <c r="C52" i="44"/>
  <c r="L51" i="44"/>
  <c r="K51" i="44"/>
  <c r="J51" i="44"/>
  <c r="E51" i="44"/>
  <c r="D51" i="44"/>
  <c r="C51" i="44"/>
  <c r="L50" i="44"/>
  <c r="K50" i="44"/>
  <c r="J50" i="44"/>
  <c r="E50" i="44"/>
  <c r="D50" i="44"/>
  <c r="C50" i="44"/>
  <c r="L49" i="44"/>
  <c r="K49" i="44"/>
  <c r="J49" i="44"/>
  <c r="E49" i="44"/>
  <c r="D49" i="44"/>
  <c r="C49" i="44"/>
  <c r="L48" i="44"/>
  <c r="K48" i="44"/>
  <c r="J48" i="44"/>
  <c r="E48" i="44"/>
  <c r="D48" i="44"/>
  <c r="C48" i="44"/>
  <c r="L47" i="44"/>
  <c r="K47" i="44"/>
  <c r="J47" i="44"/>
  <c r="E47" i="44"/>
  <c r="D47" i="44"/>
  <c r="C47" i="44"/>
  <c r="L46" i="44"/>
  <c r="K46" i="44"/>
  <c r="J46" i="44"/>
  <c r="E46" i="44"/>
  <c r="D46" i="44"/>
  <c r="C46" i="44"/>
  <c r="L45" i="44"/>
  <c r="K45" i="44"/>
  <c r="J45" i="44"/>
  <c r="E45" i="44"/>
  <c r="D45" i="44"/>
  <c r="C45" i="44"/>
  <c r="L44" i="44"/>
  <c r="K44" i="44"/>
  <c r="J44" i="44"/>
  <c r="E44" i="44"/>
  <c r="D44" i="44"/>
  <c r="C44" i="44"/>
  <c r="L43" i="44"/>
  <c r="K43" i="44"/>
  <c r="J43" i="44"/>
  <c r="M43" i="44" s="1"/>
  <c r="E43" i="44"/>
  <c r="D43" i="44"/>
  <c r="C43" i="44"/>
  <c r="L42" i="44"/>
  <c r="K42" i="44"/>
  <c r="J42" i="44"/>
  <c r="M42" i="44" s="1"/>
  <c r="E42" i="44"/>
  <c r="D42" i="44"/>
  <c r="C42" i="44"/>
  <c r="L41" i="44"/>
  <c r="K41" i="44"/>
  <c r="J41" i="44"/>
  <c r="M41" i="44" s="1"/>
  <c r="E41" i="44"/>
  <c r="D41" i="44"/>
  <c r="C41" i="44"/>
  <c r="L40" i="44"/>
  <c r="K40" i="44"/>
  <c r="J40" i="44"/>
  <c r="M40" i="44" s="1"/>
  <c r="E40" i="44"/>
  <c r="D40" i="44"/>
  <c r="C40" i="44"/>
  <c r="L39" i="44"/>
  <c r="K39" i="44"/>
  <c r="J39" i="44"/>
  <c r="M39" i="44" s="1"/>
  <c r="E39" i="44"/>
  <c r="D39" i="44"/>
  <c r="C39" i="44"/>
  <c r="L38" i="44"/>
  <c r="K38" i="44"/>
  <c r="J38" i="44"/>
  <c r="M38" i="44" s="1"/>
  <c r="E38" i="44"/>
  <c r="D38" i="44"/>
  <c r="C38" i="44"/>
  <c r="F38" i="44" s="1"/>
  <c r="L37" i="44"/>
  <c r="K37" i="44"/>
  <c r="J37" i="44"/>
  <c r="M37" i="44" s="1"/>
  <c r="E37" i="44"/>
  <c r="D37" i="44"/>
  <c r="C37" i="44"/>
  <c r="F37" i="44" s="1"/>
  <c r="L36" i="44"/>
  <c r="K36" i="44"/>
  <c r="J36" i="44"/>
  <c r="M36" i="44" s="1"/>
  <c r="E36" i="44"/>
  <c r="D36" i="44"/>
  <c r="C36" i="44"/>
  <c r="F36" i="44" s="1"/>
  <c r="K27" i="44"/>
  <c r="J27" i="44"/>
  <c r="D27" i="44"/>
  <c r="C27" i="44"/>
  <c r="K26" i="44"/>
  <c r="J26" i="44"/>
  <c r="D26" i="44"/>
  <c r="C26" i="44"/>
  <c r="K25" i="44"/>
  <c r="J25" i="44"/>
  <c r="D25" i="44"/>
  <c r="C25" i="44"/>
  <c r="K24" i="44"/>
  <c r="J24" i="44"/>
  <c r="D24" i="44"/>
  <c r="C24" i="44"/>
  <c r="K23" i="44"/>
  <c r="J23" i="44"/>
  <c r="L23" i="44" s="1"/>
  <c r="D23" i="44"/>
  <c r="C23" i="44"/>
  <c r="K22" i="44"/>
  <c r="J22" i="44"/>
  <c r="D22" i="44"/>
  <c r="C22" i="44"/>
  <c r="K21" i="44"/>
  <c r="J21" i="44"/>
  <c r="D21" i="44"/>
  <c r="C21" i="44"/>
  <c r="E21" i="44" s="1"/>
  <c r="K20" i="44"/>
  <c r="J20" i="44"/>
  <c r="D20" i="44"/>
  <c r="C20" i="44"/>
  <c r="K19" i="44"/>
  <c r="J19" i="44"/>
  <c r="D19" i="44"/>
  <c r="C19" i="44"/>
  <c r="K18" i="44"/>
  <c r="J18" i="44"/>
  <c r="D18" i="44"/>
  <c r="C18" i="44"/>
  <c r="K17" i="44"/>
  <c r="J17" i="44"/>
  <c r="L17" i="44" s="1"/>
  <c r="D17" i="44"/>
  <c r="C17" i="44"/>
  <c r="K16" i="44"/>
  <c r="J16" i="44"/>
  <c r="L16" i="44" s="1"/>
  <c r="D16" i="44"/>
  <c r="C16" i="44"/>
  <c r="K15" i="44"/>
  <c r="J15" i="44"/>
  <c r="L15" i="44" s="1"/>
  <c r="D15" i="44"/>
  <c r="C15" i="44"/>
  <c r="K14" i="44"/>
  <c r="J14" i="44"/>
  <c r="L14" i="44" s="1"/>
  <c r="D14" i="44"/>
  <c r="C14" i="44"/>
  <c r="K13" i="44"/>
  <c r="J13" i="44"/>
  <c r="L13" i="44" s="1"/>
  <c r="D13" i="44"/>
  <c r="C13" i="44"/>
  <c r="K12" i="44"/>
  <c r="J12" i="44"/>
  <c r="L12" i="44" s="1"/>
  <c r="D12" i="44"/>
  <c r="C12" i="44"/>
  <c r="E12" i="44" s="1"/>
  <c r="K11" i="44"/>
  <c r="J11" i="44"/>
  <c r="L11" i="44" s="1"/>
  <c r="D11" i="44"/>
  <c r="C11" i="44"/>
  <c r="E11" i="44" s="1"/>
  <c r="K10" i="44"/>
  <c r="J10" i="44"/>
  <c r="L10" i="44" s="1"/>
  <c r="D10" i="44"/>
  <c r="C10" i="44"/>
  <c r="E10" i="44" s="1"/>
  <c r="O85" i="49"/>
  <c r="K85" i="49"/>
  <c r="G90" i="49"/>
  <c r="C94" i="49"/>
  <c r="O96" i="49"/>
  <c r="K95" i="49"/>
  <c r="G88" i="49"/>
  <c r="C86" i="49"/>
  <c r="O97" i="49"/>
  <c r="K98" i="49"/>
  <c r="G96" i="49"/>
  <c r="C90" i="49"/>
  <c r="O84" i="49"/>
  <c r="K84" i="49"/>
  <c r="G92" i="49"/>
  <c r="C89" i="49"/>
  <c r="O90" i="49"/>
  <c r="K94" i="49"/>
  <c r="G82" i="49"/>
  <c r="C82" i="49"/>
  <c r="O92" i="49"/>
  <c r="K93" i="49"/>
  <c r="G97" i="49"/>
  <c r="C95" i="49"/>
  <c r="O83" i="49"/>
  <c r="K83" i="49"/>
  <c r="G93" i="49"/>
  <c r="C92" i="49"/>
  <c r="O86" i="49"/>
  <c r="K96" i="49"/>
  <c r="G87" i="49"/>
  <c r="C91" i="49"/>
  <c r="O82" i="49"/>
  <c r="K82" i="49"/>
  <c r="G94" i="49"/>
  <c r="C88" i="49"/>
  <c r="O81" i="49"/>
  <c r="K81" i="49"/>
  <c r="G81" i="49"/>
  <c r="C81" i="49"/>
  <c r="O89" i="49"/>
  <c r="K91" i="49"/>
  <c r="G83" i="49"/>
  <c r="C83" i="49"/>
  <c r="O98" i="49"/>
  <c r="K90" i="49"/>
  <c r="G86" i="49"/>
  <c r="C85" i="49"/>
  <c r="O93" i="49"/>
  <c r="K89" i="49"/>
  <c r="G85" i="49"/>
  <c r="C84" i="49"/>
  <c r="O88" i="49"/>
  <c r="K88" i="49"/>
  <c r="G98" i="49"/>
  <c r="C98" i="49"/>
  <c r="O91" i="49"/>
  <c r="K92" i="49"/>
  <c r="G89" i="49"/>
  <c r="C97" i="49"/>
  <c r="O95" i="49"/>
  <c r="K87" i="49"/>
  <c r="G91" i="49"/>
  <c r="C96" i="49"/>
  <c r="O87" i="49"/>
  <c r="K97" i="49"/>
  <c r="G84" i="49"/>
  <c r="C87" i="49"/>
  <c r="O94" i="49"/>
  <c r="K86" i="49"/>
  <c r="G95" i="49"/>
  <c r="C109" i="49" s="1"/>
  <c r="C93" i="49"/>
  <c r="O80" i="49"/>
  <c r="K80" i="49"/>
  <c r="G80" i="49"/>
  <c r="C80" i="49"/>
  <c r="L62" i="49"/>
  <c r="K62" i="49"/>
  <c r="J62" i="49"/>
  <c r="M62" i="49" s="1"/>
  <c r="E68" i="49"/>
  <c r="D68" i="49"/>
  <c r="C68" i="49"/>
  <c r="L70" i="49"/>
  <c r="K70" i="49"/>
  <c r="J70" i="49"/>
  <c r="E74" i="49"/>
  <c r="D74" i="49"/>
  <c r="C74" i="49"/>
  <c r="L71" i="49"/>
  <c r="K71" i="49"/>
  <c r="J71" i="49"/>
  <c r="E72" i="49"/>
  <c r="D72" i="49"/>
  <c r="C72" i="49"/>
  <c r="L61" i="49"/>
  <c r="K61" i="49"/>
  <c r="J61" i="49"/>
  <c r="M61" i="49" s="1"/>
  <c r="E65" i="49"/>
  <c r="D65" i="49"/>
  <c r="C65" i="49"/>
  <c r="F65" i="49" s="1"/>
  <c r="L68" i="49"/>
  <c r="K68" i="49"/>
  <c r="J68" i="49"/>
  <c r="E60" i="49"/>
  <c r="D60" i="49"/>
  <c r="C60" i="49"/>
  <c r="F60" i="49" s="1"/>
  <c r="L72" i="49"/>
  <c r="K72" i="49"/>
  <c r="J72" i="49"/>
  <c r="E75" i="49"/>
  <c r="D75" i="49"/>
  <c r="C75" i="49"/>
  <c r="L60" i="49"/>
  <c r="K60" i="49"/>
  <c r="J60" i="49"/>
  <c r="M60" i="49" s="1"/>
  <c r="E73" i="49"/>
  <c r="D73" i="49"/>
  <c r="C73" i="49"/>
  <c r="L67" i="49"/>
  <c r="K67" i="49"/>
  <c r="J67" i="49"/>
  <c r="E62" i="49"/>
  <c r="D62" i="49"/>
  <c r="C62" i="49"/>
  <c r="L59" i="49"/>
  <c r="K59" i="49"/>
  <c r="J59" i="49"/>
  <c r="M59" i="49" s="1"/>
  <c r="E64" i="49"/>
  <c r="D64" i="49"/>
  <c r="C64" i="49"/>
  <c r="L58" i="49"/>
  <c r="K58" i="49"/>
  <c r="J58" i="49"/>
  <c r="M58" i="49" s="1"/>
  <c r="E59" i="49"/>
  <c r="D59" i="49"/>
  <c r="C59" i="49"/>
  <c r="L73" i="49"/>
  <c r="K73" i="49"/>
  <c r="J73" i="49"/>
  <c r="E70" i="49"/>
  <c r="D70" i="49"/>
  <c r="C70" i="49"/>
  <c r="L66" i="49"/>
  <c r="K66" i="49"/>
  <c r="J66" i="49"/>
  <c r="E66" i="49"/>
  <c r="D66" i="49"/>
  <c r="C66" i="49"/>
  <c r="L74" i="49"/>
  <c r="K74" i="49"/>
  <c r="J74" i="49"/>
  <c r="E67" i="49"/>
  <c r="D67" i="49"/>
  <c r="C67" i="49"/>
  <c r="L65" i="49"/>
  <c r="K65" i="49"/>
  <c r="J65" i="49"/>
  <c r="E69" i="49"/>
  <c r="D69" i="49"/>
  <c r="C69" i="49"/>
  <c r="L64" i="49"/>
  <c r="K64" i="49"/>
  <c r="J64" i="49"/>
  <c r="E63" i="49"/>
  <c r="D63" i="49"/>
  <c r="C63" i="49"/>
  <c r="L75" i="49"/>
  <c r="K75" i="49"/>
  <c r="J75" i="49"/>
  <c r="E71" i="49"/>
  <c r="D71" i="49"/>
  <c r="C71" i="49"/>
  <c r="F71" i="49" s="1"/>
  <c r="L63" i="49"/>
  <c r="K63" i="49"/>
  <c r="J63" i="49"/>
  <c r="E61" i="49"/>
  <c r="D61" i="49"/>
  <c r="C61" i="49"/>
  <c r="L69" i="49"/>
  <c r="K69" i="49"/>
  <c r="J69" i="49"/>
  <c r="E58" i="49"/>
  <c r="D58" i="49"/>
  <c r="C58" i="49"/>
  <c r="L40" i="49"/>
  <c r="K40" i="49"/>
  <c r="J40" i="49"/>
  <c r="M40" i="49" s="1"/>
  <c r="E43" i="49"/>
  <c r="D43" i="49"/>
  <c r="C43" i="49"/>
  <c r="L48" i="49"/>
  <c r="K48" i="49"/>
  <c r="J48" i="49"/>
  <c r="E49" i="49"/>
  <c r="D49" i="49"/>
  <c r="C49" i="49"/>
  <c r="L47" i="49"/>
  <c r="K47" i="49"/>
  <c r="J47" i="49"/>
  <c r="E48" i="49"/>
  <c r="D48" i="49"/>
  <c r="C48" i="49"/>
  <c r="L39" i="49"/>
  <c r="K39" i="49"/>
  <c r="J39" i="49"/>
  <c r="M39" i="49" s="1"/>
  <c r="E42" i="49"/>
  <c r="D42" i="49"/>
  <c r="C42" i="49"/>
  <c r="L53" i="49"/>
  <c r="K53" i="49"/>
  <c r="J53" i="49"/>
  <c r="E38" i="49"/>
  <c r="D38" i="49"/>
  <c r="C38" i="49"/>
  <c r="F38" i="49" s="1"/>
  <c r="L49" i="49"/>
  <c r="K49" i="49"/>
  <c r="J49" i="49"/>
  <c r="E51" i="49"/>
  <c r="D51" i="49"/>
  <c r="C51" i="49"/>
  <c r="L38" i="49"/>
  <c r="K38" i="49"/>
  <c r="J38" i="49"/>
  <c r="M38" i="49" s="1"/>
  <c r="E50" i="49"/>
  <c r="D50" i="49"/>
  <c r="C50" i="49"/>
  <c r="L52" i="49"/>
  <c r="K52" i="49"/>
  <c r="J52" i="49"/>
  <c r="E53" i="49"/>
  <c r="D53" i="49"/>
  <c r="C53" i="49"/>
  <c r="L37" i="49"/>
  <c r="K37" i="49"/>
  <c r="J37" i="49"/>
  <c r="M37" i="49" s="1"/>
  <c r="E46" i="49"/>
  <c r="D46" i="49"/>
  <c r="C46" i="49"/>
  <c r="L36" i="49"/>
  <c r="K36" i="49"/>
  <c r="J36" i="49"/>
  <c r="M36" i="49" s="1"/>
  <c r="E37" i="49"/>
  <c r="D37" i="49"/>
  <c r="C37" i="49"/>
  <c r="F37" i="49" s="1"/>
  <c r="L46" i="49"/>
  <c r="K46" i="49"/>
  <c r="J46" i="49"/>
  <c r="E41" i="49"/>
  <c r="D41" i="49"/>
  <c r="C41" i="49"/>
  <c r="L45" i="49"/>
  <c r="K45" i="49"/>
  <c r="J45" i="49"/>
  <c r="E45" i="49"/>
  <c r="D45" i="49"/>
  <c r="C45" i="49"/>
  <c r="L44" i="49"/>
  <c r="K44" i="49"/>
  <c r="J44" i="49"/>
  <c r="E40" i="49"/>
  <c r="D40" i="49"/>
  <c r="C40" i="49"/>
  <c r="L43" i="49"/>
  <c r="K43" i="49"/>
  <c r="J43" i="49"/>
  <c r="E47" i="49"/>
  <c r="D47" i="49"/>
  <c r="C47" i="49"/>
  <c r="L42" i="49"/>
  <c r="K42" i="49"/>
  <c r="J42" i="49"/>
  <c r="E44" i="49"/>
  <c r="D44" i="49"/>
  <c r="C44" i="49"/>
  <c r="L41" i="49"/>
  <c r="K41" i="49"/>
  <c r="J41" i="49"/>
  <c r="E39" i="49"/>
  <c r="D39" i="49"/>
  <c r="C39" i="49"/>
  <c r="L50" i="49"/>
  <c r="K50" i="49"/>
  <c r="J50" i="49"/>
  <c r="E52" i="49"/>
  <c r="D52" i="49"/>
  <c r="C52" i="49"/>
  <c r="L51" i="49"/>
  <c r="K51" i="49"/>
  <c r="J51" i="49"/>
  <c r="E36" i="49"/>
  <c r="D36" i="49"/>
  <c r="C36" i="49"/>
  <c r="F36" i="49" s="1"/>
  <c r="K14" i="49"/>
  <c r="J14" i="49"/>
  <c r="L14" i="49" s="1"/>
  <c r="D16" i="49"/>
  <c r="C16" i="49"/>
  <c r="K26" i="49"/>
  <c r="J26" i="49"/>
  <c r="D13" i="49"/>
  <c r="C13" i="49"/>
  <c r="K20" i="49"/>
  <c r="J20" i="49"/>
  <c r="D25" i="49"/>
  <c r="C25" i="49"/>
  <c r="K13" i="49"/>
  <c r="J13" i="49"/>
  <c r="L13" i="49" s="1"/>
  <c r="D15" i="49"/>
  <c r="C15" i="49"/>
  <c r="K25" i="49"/>
  <c r="J25" i="49"/>
  <c r="D11" i="49"/>
  <c r="C11" i="49"/>
  <c r="K21" i="49"/>
  <c r="J21" i="49"/>
  <c r="D19" i="49"/>
  <c r="C19" i="49"/>
  <c r="K12" i="49"/>
  <c r="J12" i="49"/>
  <c r="L12" i="49" s="1"/>
  <c r="D17" i="49"/>
  <c r="C17" i="49"/>
  <c r="K23" i="49"/>
  <c r="J23" i="49"/>
  <c r="D27" i="49"/>
  <c r="C27" i="49"/>
  <c r="K11" i="49"/>
  <c r="J11" i="49"/>
  <c r="L11" i="49" s="1"/>
  <c r="D22" i="49"/>
  <c r="C22" i="49"/>
  <c r="K10" i="49"/>
  <c r="J10" i="49"/>
  <c r="L10" i="49" s="1"/>
  <c r="D10" i="49"/>
  <c r="C10" i="49"/>
  <c r="E10" i="49" s="1"/>
  <c r="K15" i="49"/>
  <c r="J15" i="49"/>
  <c r="D20" i="49"/>
  <c r="C20" i="49"/>
  <c r="K19" i="49"/>
  <c r="J19" i="49"/>
  <c r="D26" i="49"/>
  <c r="C26" i="49"/>
  <c r="E26" i="49" s="1"/>
  <c r="K22" i="49"/>
  <c r="J22" i="49"/>
  <c r="D24" i="49"/>
  <c r="C24" i="49"/>
  <c r="K18" i="49"/>
  <c r="J18" i="49"/>
  <c r="D18" i="49"/>
  <c r="C18" i="49"/>
  <c r="E18" i="49" s="1"/>
  <c r="K17" i="49"/>
  <c r="J17" i="49"/>
  <c r="D21" i="49"/>
  <c r="C21" i="49"/>
  <c r="K27" i="49"/>
  <c r="J27" i="49"/>
  <c r="D14" i="49"/>
  <c r="C14" i="49"/>
  <c r="E14" i="49" s="1"/>
  <c r="K24" i="49"/>
  <c r="J24" i="49"/>
  <c r="D12" i="49"/>
  <c r="C12" i="49"/>
  <c r="K16" i="49"/>
  <c r="J16" i="49"/>
  <c r="D23" i="49"/>
  <c r="C23" i="49"/>
  <c r="E23" i="49" s="1"/>
  <c r="O98" i="48"/>
  <c r="K98" i="48"/>
  <c r="G98" i="48"/>
  <c r="C98" i="48"/>
  <c r="O97" i="48"/>
  <c r="K97" i="48"/>
  <c r="G97" i="48"/>
  <c r="C97" i="48"/>
  <c r="O96" i="48"/>
  <c r="K96" i="48"/>
  <c r="G96" i="48"/>
  <c r="C96" i="48"/>
  <c r="O95" i="48"/>
  <c r="K95" i="48"/>
  <c r="G95" i="48"/>
  <c r="C95" i="48"/>
  <c r="O94" i="48"/>
  <c r="K92" i="48"/>
  <c r="G94" i="48"/>
  <c r="C94" i="48"/>
  <c r="O93" i="48"/>
  <c r="K91" i="48"/>
  <c r="G92" i="48"/>
  <c r="C93" i="48"/>
  <c r="O92" i="48"/>
  <c r="K90" i="48"/>
  <c r="G91" i="48"/>
  <c r="C92" i="48"/>
  <c r="O91" i="48"/>
  <c r="K89" i="48"/>
  <c r="G90" i="48"/>
  <c r="C91" i="48"/>
  <c r="O90" i="48"/>
  <c r="K88" i="48"/>
  <c r="G89" i="48"/>
  <c r="C89" i="48"/>
  <c r="O89" i="48"/>
  <c r="K87" i="48"/>
  <c r="G88" i="48"/>
  <c r="C88" i="48"/>
  <c r="O86" i="48"/>
  <c r="K86" i="48"/>
  <c r="G85" i="48"/>
  <c r="C85" i="48"/>
  <c r="O85" i="48"/>
  <c r="K85" i="48"/>
  <c r="G84" i="48"/>
  <c r="C84" i="48"/>
  <c r="O84" i="48"/>
  <c r="K84" i="48"/>
  <c r="G93" i="48"/>
  <c r="C90" i="48"/>
  <c r="O83" i="48"/>
  <c r="K83" i="48"/>
  <c r="G83" i="48"/>
  <c r="C83" i="48"/>
  <c r="O82" i="48"/>
  <c r="K82" i="48"/>
  <c r="G86" i="48"/>
  <c r="C86" i="48"/>
  <c r="O81" i="48"/>
  <c r="K81" i="48"/>
  <c r="G87" i="48"/>
  <c r="C87" i="48"/>
  <c r="O88" i="48"/>
  <c r="K94" i="48"/>
  <c r="G82" i="48"/>
  <c r="C82" i="48"/>
  <c r="O87" i="48"/>
  <c r="K93" i="48"/>
  <c r="G81" i="48"/>
  <c r="C81" i="48"/>
  <c r="O80" i="48"/>
  <c r="K80" i="48"/>
  <c r="G80" i="48"/>
  <c r="C80" i="48"/>
  <c r="L75" i="48"/>
  <c r="K75" i="48"/>
  <c r="J75" i="48"/>
  <c r="E75" i="48"/>
  <c r="D75" i="48"/>
  <c r="C75" i="48"/>
  <c r="L74" i="48"/>
  <c r="K74" i="48"/>
  <c r="J74" i="48"/>
  <c r="E74" i="48"/>
  <c r="D74" i="48"/>
  <c r="C74" i="48"/>
  <c r="L73" i="48"/>
  <c r="K73" i="48"/>
  <c r="J73" i="48"/>
  <c r="E73" i="48"/>
  <c r="D73" i="48"/>
  <c r="C73" i="48"/>
  <c r="L72" i="48"/>
  <c r="K72" i="48"/>
  <c r="J72" i="48"/>
  <c r="E72" i="48"/>
  <c r="D72" i="48"/>
  <c r="C72" i="48"/>
  <c r="L71" i="48"/>
  <c r="K71" i="48"/>
  <c r="J71" i="48"/>
  <c r="E71" i="48"/>
  <c r="D71" i="48"/>
  <c r="C71" i="48"/>
  <c r="L70" i="48"/>
  <c r="K70" i="48"/>
  <c r="J70" i="48"/>
  <c r="E69" i="48"/>
  <c r="D69" i="48"/>
  <c r="C69" i="48"/>
  <c r="L69" i="48"/>
  <c r="K69" i="48"/>
  <c r="J69" i="48"/>
  <c r="E67" i="48"/>
  <c r="D67" i="48"/>
  <c r="C67" i="48"/>
  <c r="L68" i="48"/>
  <c r="K68" i="48"/>
  <c r="J68" i="48"/>
  <c r="E66" i="48"/>
  <c r="D66" i="48"/>
  <c r="C66" i="48"/>
  <c r="L67" i="48"/>
  <c r="K67" i="48"/>
  <c r="J67" i="48"/>
  <c r="E65" i="48"/>
  <c r="D65" i="48"/>
  <c r="C65" i="48"/>
  <c r="L66" i="48"/>
  <c r="K66" i="48"/>
  <c r="J66" i="48"/>
  <c r="E64" i="48"/>
  <c r="D64" i="48"/>
  <c r="C64" i="48"/>
  <c r="L63" i="48"/>
  <c r="K63" i="48"/>
  <c r="J63" i="48"/>
  <c r="E62" i="48"/>
  <c r="D62" i="48"/>
  <c r="C62" i="48"/>
  <c r="F62" i="48" s="1"/>
  <c r="L62" i="48"/>
  <c r="K62" i="48"/>
  <c r="J62" i="48"/>
  <c r="M62" i="48" s="1"/>
  <c r="E61" i="48"/>
  <c r="D61" i="48"/>
  <c r="C61" i="48"/>
  <c r="F61" i="48" s="1"/>
  <c r="L61" i="48"/>
  <c r="K61" i="48"/>
  <c r="J61" i="48"/>
  <c r="M61" i="48" s="1"/>
  <c r="E63" i="48"/>
  <c r="D63" i="48"/>
  <c r="C63" i="48"/>
  <c r="L60" i="48"/>
  <c r="K60" i="48"/>
  <c r="J60" i="48"/>
  <c r="M60" i="48" s="1"/>
  <c r="E60" i="48"/>
  <c r="D60" i="48"/>
  <c r="C60" i="48"/>
  <c r="F60" i="48" s="1"/>
  <c r="L59" i="48"/>
  <c r="K59" i="48"/>
  <c r="J59" i="48"/>
  <c r="M59" i="48" s="1"/>
  <c r="E68" i="48"/>
  <c r="D68" i="48"/>
  <c r="C68" i="48"/>
  <c r="L58" i="48"/>
  <c r="K58" i="48"/>
  <c r="J58" i="48"/>
  <c r="M58" i="48" s="1"/>
  <c r="E70" i="48"/>
  <c r="D70" i="48"/>
  <c r="C70" i="48"/>
  <c r="L65" i="48"/>
  <c r="K65" i="48"/>
  <c r="J65" i="48"/>
  <c r="E59" i="48"/>
  <c r="D59" i="48"/>
  <c r="C59" i="48"/>
  <c r="F59" i="48" s="1"/>
  <c r="L64" i="48"/>
  <c r="K64" i="48"/>
  <c r="J64" i="48"/>
  <c r="E58" i="48"/>
  <c r="D58" i="48"/>
  <c r="C58" i="48"/>
  <c r="F58" i="48" s="1"/>
  <c r="L53" i="48"/>
  <c r="K53" i="48"/>
  <c r="J53" i="48"/>
  <c r="E53" i="48"/>
  <c r="D53" i="48"/>
  <c r="C53" i="48"/>
  <c r="L52" i="48"/>
  <c r="K52" i="48"/>
  <c r="J52" i="48"/>
  <c r="E52" i="48"/>
  <c r="D52" i="48"/>
  <c r="C52" i="48"/>
  <c r="L50" i="48"/>
  <c r="K50" i="48"/>
  <c r="J50" i="48"/>
  <c r="E51" i="48"/>
  <c r="D51" i="48"/>
  <c r="C51" i="48"/>
  <c r="L48" i="48"/>
  <c r="K48" i="48"/>
  <c r="J48" i="48"/>
  <c r="E50" i="48"/>
  <c r="D50" i="48"/>
  <c r="C50" i="48"/>
  <c r="L47" i="48"/>
  <c r="K47" i="48"/>
  <c r="J47" i="48"/>
  <c r="E49" i="48"/>
  <c r="D49" i="48"/>
  <c r="C49" i="48"/>
  <c r="L46" i="48"/>
  <c r="K46" i="48"/>
  <c r="J46" i="48"/>
  <c r="E48" i="48"/>
  <c r="D48" i="48"/>
  <c r="C48" i="48"/>
  <c r="L45" i="48"/>
  <c r="K45" i="48"/>
  <c r="J45" i="48"/>
  <c r="E47" i="48"/>
  <c r="D47" i="48"/>
  <c r="C47" i="48"/>
  <c r="L44" i="48"/>
  <c r="K44" i="48"/>
  <c r="J44" i="48"/>
  <c r="E44" i="48"/>
  <c r="D44" i="48"/>
  <c r="C44" i="48"/>
  <c r="L43" i="48"/>
  <c r="K43" i="48"/>
  <c r="J43" i="48"/>
  <c r="E42" i="48"/>
  <c r="D42" i="48"/>
  <c r="C42" i="48"/>
  <c r="L42" i="48"/>
  <c r="K42" i="48"/>
  <c r="J42" i="48"/>
  <c r="E41" i="48"/>
  <c r="D41" i="48"/>
  <c r="C41" i="48"/>
  <c r="L41" i="48"/>
  <c r="K41" i="48"/>
  <c r="J41" i="48"/>
  <c r="E40" i="48"/>
  <c r="D40" i="48"/>
  <c r="C40" i="48"/>
  <c r="F40" i="48" s="1"/>
  <c r="L40" i="48"/>
  <c r="K40" i="48"/>
  <c r="J40" i="48"/>
  <c r="M40" i="48" s="1"/>
  <c r="E39" i="48"/>
  <c r="D39" i="48"/>
  <c r="C39" i="48"/>
  <c r="F39" i="48" s="1"/>
  <c r="L39" i="48"/>
  <c r="K39" i="48"/>
  <c r="J39" i="48"/>
  <c r="M39" i="48" s="1"/>
  <c r="E43" i="48"/>
  <c r="D43" i="48"/>
  <c r="C43" i="48"/>
  <c r="L38" i="48"/>
  <c r="K38" i="48"/>
  <c r="J38" i="48"/>
  <c r="M38" i="48" s="1"/>
  <c r="E38" i="48"/>
  <c r="D38" i="48"/>
  <c r="C38" i="48"/>
  <c r="F38" i="48" s="1"/>
  <c r="L37" i="48"/>
  <c r="K37" i="48"/>
  <c r="J37" i="48"/>
  <c r="M37" i="48" s="1"/>
  <c r="E45" i="48"/>
  <c r="D45" i="48"/>
  <c r="C45" i="48"/>
  <c r="L36" i="48"/>
  <c r="K36" i="48"/>
  <c r="J36" i="48"/>
  <c r="M36" i="48" s="1"/>
  <c r="E46" i="48"/>
  <c r="D46" i="48"/>
  <c r="C46" i="48"/>
  <c r="L49" i="48"/>
  <c r="K49" i="48"/>
  <c r="J49" i="48"/>
  <c r="M49" i="48" s="1"/>
  <c r="E37" i="48"/>
  <c r="D37" i="48"/>
  <c r="C37" i="48"/>
  <c r="F37" i="48" s="1"/>
  <c r="L51" i="48"/>
  <c r="K51" i="48"/>
  <c r="J51" i="48"/>
  <c r="E36" i="48"/>
  <c r="D36" i="48"/>
  <c r="C36" i="48"/>
  <c r="F36" i="48" s="1"/>
  <c r="K27" i="48"/>
  <c r="J27" i="48"/>
  <c r="D25" i="48"/>
  <c r="C25" i="48"/>
  <c r="K26" i="48"/>
  <c r="J26" i="48"/>
  <c r="D24" i="48"/>
  <c r="C24" i="48"/>
  <c r="K25" i="48"/>
  <c r="J25" i="48"/>
  <c r="D23" i="48"/>
  <c r="C23" i="48"/>
  <c r="K24" i="48"/>
  <c r="J24" i="48"/>
  <c r="D22" i="48"/>
  <c r="C22" i="48"/>
  <c r="K23" i="48"/>
  <c r="J23" i="48"/>
  <c r="D21" i="48"/>
  <c r="C21" i="48"/>
  <c r="K15" i="48"/>
  <c r="J15" i="48"/>
  <c r="D19" i="48"/>
  <c r="C19" i="48"/>
  <c r="K21" i="48"/>
  <c r="J21" i="48"/>
  <c r="D18" i="48"/>
  <c r="C18" i="48"/>
  <c r="K20" i="48"/>
  <c r="J20" i="48"/>
  <c r="D17" i="48"/>
  <c r="C17" i="48"/>
  <c r="K19" i="48"/>
  <c r="J19" i="48"/>
  <c r="D16" i="48"/>
  <c r="C16" i="48"/>
  <c r="K18" i="48"/>
  <c r="J18" i="48"/>
  <c r="D15" i="48"/>
  <c r="C15" i="48"/>
  <c r="K17" i="48"/>
  <c r="J17" i="48"/>
  <c r="D10" i="48"/>
  <c r="C10" i="48"/>
  <c r="E10" i="48" s="1"/>
  <c r="K14" i="48"/>
  <c r="J14" i="48"/>
  <c r="L14" i="48" s="1"/>
  <c r="D11" i="48"/>
  <c r="C11" i="48"/>
  <c r="E11" i="48" s="1"/>
  <c r="K13" i="48"/>
  <c r="J13" i="48"/>
  <c r="L13" i="48" s="1"/>
  <c r="D20" i="48"/>
  <c r="C20" i="48"/>
  <c r="E20" i="48" s="1"/>
  <c r="K12" i="48"/>
  <c r="J12" i="48"/>
  <c r="L12" i="48" s="1"/>
  <c r="D12" i="48"/>
  <c r="C12" i="48"/>
  <c r="E12" i="48" s="1"/>
  <c r="K11" i="48"/>
  <c r="J11" i="48"/>
  <c r="L11" i="48" s="1"/>
  <c r="D27" i="48"/>
  <c r="C27" i="48"/>
  <c r="E27" i="48" s="1"/>
  <c r="K10" i="48"/>
  <c r="J10" i="48"/>
  <c r="L10" i="48" s="1"/>
  <c r="D26" i="48"/>
  <c r="C26" i="48"/>
  <c r="K22" i="48"/>
  <c r="J22" i="48"/>
  <c r="D13" i="48"/>
  <c r="C13" i="48"/>
  <c r="E13" i="48" s="1"/>
  <c r="K16" i="48"/>
  <c r="J16" i="48"/>
  <c r="L16" i="48" s="1"/>
  <c r="D14" i="48"/>
  <c r="C14" i="48"/>
  <c r="E14" i="48" s="1"/>
  <c r="E27" i="49" l="1"/>
  <c r="F58" i="49"/>
  <c r="M42" i="49"/>
  <c r="M46" i="49"/>
  <c r="L17" i="49"/>
  <c r="M70" i="49"/>
  <c r="F66" i="49"/>
  <c r="M45" i="49"/>
  <c r="F49" i="49"/>
  <c r="E19" i="49"/>
  <c r="E15" i="49"/>
  <c r="E13" i="49"/>
  <c r="E16" i="49"/>
  <c r="E11" i="49"/>
  <c r="F45" i="48"/>
  <c r="F68" i="48"/>
  <c r="F43" i="48"/>
  <c r="M64" i="48"/>
  <c r="M51" i="48"/>
  <c r="M65" i="48"/>
  <c r="L22" i="48"/>
  <c r="F63" i="48"/>
  <c r="F45" i="49"/>
  <c r="M48" i="49"/>
  <c r="M66" i="49"/>
  <c r="L19" i="49"/>
  <c r="L26" i="49"/>
  <c r="F43" i="49"/>
  <c r="F48" i="49"/>
  <c r="F68" i="49"/>
  <c r="F74" i="49"/>
  <c r="M47" i="49"/>
  <c r="L15" i="49"/>
  <c r="L20" i="49"/>
  <c r="E25" i="49"/>
  <c r="F72" i="49"/>
  <c r="M71" i="49"/>
  <c r="F42" i="49"/>
  <c r="F41" i="49"/>
  <c r="E12" i="49"/>
  <c r="E21" i="49"/>
  <c r="E24" i="49"/>
  <c r="E20" i="49"/>
  <c r="E17" i="49"/>
  <c r="F39" i="49"/>
  <c r="F70" i="49"/>
  <c r="M73" i="49"/>
  <c r="F69" i="49"/>
  <c r="F63" i="49"/>
  <c r="F44" i="49"/>
  <c r="M64" i="49"/>
  <c r="M72" i="49"/>
  <c r="M41" i="49"/>
  <c r="M65" i="49"/>
  <c r="L27" i="49"/>
  <c r="M75" i="49"/>
  <c r="F47" i="49"/>
  <c r="F51" i="49"/>
  <c r="F62" i="49"/>
  <c r="F67" i="49"/>
  <c r="M43" i="49"/>
  <c r="L25" i="49"/>
  <c r="L18" i="49"/>
  <c r="M74" i="49"/>
  <c r="M68" i="49"/>
  <c r="M53" i="49"/>
  <c r="L21" i="49"/>
  <c r="F75" i="49"/>
  <c r="L22" i="49"/>
  <c r="M49" i="49"/>
  <c r="F40" i="49"/>
  <c r="M50" i="49"/>
  <c r="M44" i="49"/>
  <c r="M67" i="49"/>
  <c r="F73" i="49"/>
  <c r="F50" i="49"/>
  <c r="F52" i="49"/>
  <c r="F61" i="49"/>
  <c r="F64" i="49"/>
  <c r="M63" i="49"/>
  <c r="L24" i="49"/>
  <c r="E22" i="49"/>
  <c r="F53" i="49"/>
  <c r="M52" i="49"/>
  <c r="M69" i="49"/>
  <c r="L16" i="49"/>
  <c r="L23" i="49"/>
  <c r="F46" i="49"/>
  <c r="F59" i="49"/>
  <c r="M51" i="49"/>
  <c r="F42" i="44"/>
  <c r="F46" i="44"/>
  <c r="C104" i="44"/>
  <c r="F50" i="44"/>
  <c r="F62" i="44"/>
  <c r="F66" i="44"/>
  <c r="F70" i="44"/>
  <c r="B103" i="44"/>
  <c r="B104" i="49"/>
  <c r="L18" i="44"/>
  <c r="L20" i="44"/>
  <c r="E13" i="44"/>
  <c r="F74" i="44"/>
  <c r="E17" i="44"/>
  <c r="L20" i="48"/>
  <c r="B104" i="48"/>
  <c r="C111" i="49"/>
  <c r="E25" i="44"/>
  <c r="B105" i="48"/>
  <c r="C104" i="50"/>
  <c r="L17" i="48"/>
  <c r="E23" i="48"/>
  <c r="E25" i="48"/>
  <c r="M41" i="48"/>
  <c r="M45" i="48"/>
  <c r="M50" i="48"/>
  <c r="M67" i="48"/>
  <c r="M71" i="48"/>
  <c r="M75" i="48"/>
  <c r="C111" i="48"/>
  <c r="E22" i="44"/>
  <c r="F41" i="48"/>
  <c r="F48" i="48"/>
  <c r="F52" i="48"/>
  <c r="E19" i="44"/>
  <c r="L22" i="44"/>
  <c r="L24" i="44"/>
  <c r="L21" i="48"/>
  <c r="L25" i="48"/>
  <c r="E14" i="44"/>
  <c r="E23" i="44"/>
  <c r="M47" i="48"/>
  <c r="M53" i="48"/>
  <c r="M63" i="48"/>
  <c r="M69" i="48"/>
  <c r="M73" i="48"/>
  <c r="E27" i="44"/>
  <c r="L25" i="44"/>
  <c r="B104" i="44"/>
  <c r="B103" i="48"/>
  <c r="E15" i="44"/>
  <c r="E26" i="44"/>
  <c r="M45" i="44"/>
  <c r="M49" i="44"/>
  <c r="M53" i="44"/>
  <c r="M69" i="44"/>
  <c r="M73" i="44"/>
  <c r="F66" i="48"/>
  <c r="F72" i="48"/>
  <c r="F70" i="48"/>
  <c r="E15" i="48"/>
  <c r="E26" i="48"/>
  <c r="E17" i="48"/>
  <c r="E19" i="48"/>
  <c r="E16" i="48"/>
  <c r="E18" i="48"/>
  <c r="F46" i="48"/>
  <c r="F44" i="48"/>
  <c r="F50" i="48"/>
  <c r="F64" i="48"/>
  <c r="F69" i="48"/>
  <c r="F74" i="48"/>
  <c r="B111" i="49"/>
  <c r="E18" i="44"/>
  <c r="L19" i="44"/>
  <c r="F40" i="44"/>
  <c r="F44" i="44"/>
  <c r="F48" i="44"/>
  <c r="F52" i="44"/>
  <c r="F64" i="44"/>
  <c r="F68" i="44"/>
  <c r="F72" i="44"/>
  <c r="B111" i="50"/>
  <c r="L18" i="48"/>
  <c r="E22" i="48"/>
  <c r="L27" i="48"/>
  <c r="F42" i="48"/>
  <c r="F49" i="48"/>
  <c r="F53" i="48"/>
  <c r="F67" i="48"/>
  <c r="F73" i="48"/>
  <c r="E20" i="44"/>
  <c r="L21" i="44"/>
  <c r="L26" i="44"/>
  <c r="F39" i="44"/>
  <c r="F43" i="44"/>
  <c r="F47" i="44"/>
  <c r="F51" i="44"/>
  <c r="F63" i="44"/>
  <c r="F67" i="44"/>
  <c r="F71" i="44"/>
  <c r="F75" i="44"/>
  <c r="C111" i="50"/>
  <c r="E24" i="48"/>
  <c r="M44" i="48"/>
  <c r="M48" i="48"/>
  <c r="M66" i="48"/>
  <c r="M70" i="48"/>
  <c r="M74" i="48"/>
  <c r="C104" i="48"/>
  <c r="C104" i="49"/>
  <c r="M44" i="44"/>
  <c r="M48" i="44"/>
  <c r="M52" i="44"/>
  <c r="M68" i="44"/>
  <c r="M72" i="44"/>
  <c r="L24" i="48"/>
  <c r="M47" i="44"/>
  <c r="M51" i="44"/>
  <c r="M67" i="44"/>
  <c r="M71" i="44"/>
  <c r="M75" i="44"/>
  <c r="C111" i="44"/>
  <c r="B105" i="44"/>
  <c r="L15" i="48"/>
  <c r="M43" i="48"/>
  <c r="L19" i="48"/>
  <c r="E21" i="48"/>
  <c r="L26" i="48"/>
  <c r="F47" i="48"/>
  <c r="F51" i="48"/>
  <c r="F65" i="48"/>
  <c r="F71" i="48"/>
  <c r="F75" i="48"/>
  <c r="E16" i="44"/>
  <c r="E24" i="44"/>
  <c r="L27" i="44"/>
  <c r="F41" i="44"/>
  <c r="F45" i="44"/>
  <c r="F49" i="44"/>
  <c r="F53" i="44"/>
  <c r="F61" i="44"/>
  <c r="F65" i="44"/>
  <c r="F69" i="44"/>
  <c r="F73" i="44"/>
  <c r="M42" i="48"/>
  <c r="M46" i="48"/>
  <c r="M52" i="48"/>
  <c r="M68" i="48"/>
  <c r="M72" i="48"/>
  <c r="M46" i="44"/>
  <c r="M50" i="44"/>
  <c r="M66" i="44"/>
  <c r="M70" i="44"/>
  <c r="M74" i="44"/>
  <c r="B103" i="50"/>
  <c r="B105" i="50"/>
  <c r="B110" i="50"/>
  <c r="C103" i="50"/>
  <c r="C105" i="50"/>
  <c r="C110" i="50"/>
  <c r="B109" i="50"/>
  <c r="C109" i="50"/>
  <c r="B111" i="44"/>
  <c r="B109" i="44"/>
  <c r="B110" i="44"/>
  <c r="C103" i="44"/>
  <c r="C105" i="44"/>
  <c r="C110" i="44"/>
  <c r="C109" i="44"/>
  <c r="B103" i="49"/>
  <c r="B105" i="49"/>
  <c r="B110" i="49"/>
  <c r="C103" i="49"/>
  <c r="C105" i="49"/>
  <c r="C110" i="49"/>
  <c r="B109" i="49"/>
  <c r="B111" i="48"/>
  <c r="B109" i="48"/>
  <c r="L23" i="48"/>
  <c r="B110" i="48"/>
  <c r="C103" i="48"/>
  <c r="C105" i="48"/>
  <c r="C110" i="48"/>
  <c r="C109" i="48"/>
  <c r="AA25" i="53" l="1"/>
  <c r="Z25" i="53"/>
  <c r="Y25" i="53"/>
  <c r="W25" i="53"/>
  <c r="U25" i="53"/>
  <c r="S25" i="53"/>
  <c r="Q25" i="53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Q24" i="53"/>
  <c r="P24" i="53"/>
  <c r="N24" i="53"/>
  <c r="L24" i="53"/>
  <c r="J24" i="53"/>
  <c r="H24" i="53"/>
  <c r="G24" i="53"/>
  <c r="F24" i="53"/>
  <c r="AA23" i="53"/>
  <c r="Z23" i="53"/>
  <c r="Y23" i="53"/>
  <c r="W23" i="53"/>
  <c r="U23" i="53"/>
  <c r="S23" i="53"/>
  <c r="Q23" i="53"/>
  <c r="P23" i="53"/>
  <c r="N23" i="53"/>
  <c r="L23" i="53"/>
  <c r="J23" i="53"/>
  <c r="H23" i="53"/>
  <c r="G23" i="53"/>
  <c r="F23" i="53"/>
  <c r="AA22" i="53"/>
  <c r="Z22" i="53"/>
  <c r="Y22" i="53"/>
  <c r="W22" i="53"/>
  <c r="U22" i="53"/>
  <c r="S22" i="53"/>
  <c r="Q22" i="53"/>
  <c r="P22" i="53"/>
  <c r="N22" i="53"/>
  <c r="L22" i="53"/>
  <c r="J22" i="53"/>
  <c r="H22" i="53"/>
  <c r="G22" i="53"/>
  <c r="F22" i="53"/>
  <c r="AA21" i="53"/>
  <c r="Z21" i="53"/>
  <c r="Y21" i="53"/>
  <c r="W21" i="53"/>
  <c r="U21" i="53"/>
  <c r="S21" i="53"/>
  <c r="Q21" i="53"/>
  <c r="P21" i="53"/>
  <c r="N21" i="53"/>
  <c r="L21" i="53"/>
  <c r="J21" i="53"/>
  <c r="H21" i="53"/>
  <c r="G21" i="53"/>
  <c r="F21" i="53"/>
  <c r="AA20" i="53"/>
  <c r="Z20" i="53"/>
  <c r="Y20" i="53"/>
  <c r="W20" i="53"/>
  <c r="U20" i="53"/>
  <c r="S20" i="53"/>
  <c r="Q20" i="53"/>
  <c r="P20" i="53"/>
  <c r="N20" i="53"/>
  <c r="L20" i="53"/>
  <c r="J20" i="53"/>
  <c r="H20" i="53"/>
  <c r="G20" i="53"/>
  <c r="F20" i="53"/>
  <c r="AA19" i="53"/>
  <c r="Z19" i="53"/>
  <c r="Y19" i="53"/>
  <c r="W19" i="53"/>
  <c r="U19" i="53"/>
  <c r="S19" i="53"/>
  <c r="Q19" i="53"/>
  <c r="P19" i="53"/>
  <c r="N19" i="53"/>
  <c r="L19" i="53"/>
  <c r="J19" i="53"/>
  <c r="H19" i="53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W17" i="53"/>
  <c r="U17" i="53"/>
  <c r="S17" i="53"/>
  <c r="Q17" i="53"/>
  <c r="P17" i="53"/>
  <c r="N17" i="53"/>
  <c r="L17" i="53"/>
  <c r="J17" i="53"/>
  <c r="H17" i="53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G16" i="53"/>
  <c r="F16" i="53"/>
  <c r="AA15" i="53"/>
  <c r="Z15" i="53"/>
  <c r="Y15" i="53"/>
  <c r="W15" i="53"/>
  <c r="U15" i="53"/>
  <c r="S15" i="53"/>
  <c r="Q15" i="53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Q14" i="53"/>
  <c r="P14" i="53"/>
  <c r="N14" i="53"/>
  <c r="L14" i="53"/>
  <c r="J14" i="53"/>
  <c r="H14" i="53"/>
  <c r="G14" i="53"/>
  <c r="F14" i="53"/>
  <c r="AA13" i="53"/>
  <c r="Z13" i="53"/>
  <c r="Y13" i="53"/>
  <c r="W13" i="53"/>
  <c r="U13" i="53"/>
  <c r="S13" i="53"/>
  <c r="Q13" i="53"/>
  <c r="P13" i="53"/>
  <c r="N13" i="53"/>
  <c r="L13" i="53"/>
  <c r="J13" i="53"/>
  <c r="H13" i="53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G12" i="53"/>
  <c r="F12" i="53"/>
  <c r="AA11" i="53"/>
  <c r="Z11" i="53"/>
  <c r="Y11" i="53"/>
  <c r="W11" i="53"/>
  <c r="U11" i="53"/>
  <c r="S11" i="53"/>
  <c r="Q11" i="53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Q10" i="53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N9" i="53"/>
  <c r="L9" i="53"/>
  <c r="J9" i="53"/>
  <c r="H9" i="53"/>
  <c r="G9" i="53"/>
  <c r="F9" i="53"/>
  <c r="AA8" i="53"/>
  <c r="Z8" i="53"/>
  <c r="Y8" i="53"/>
  <c r="W8" i="53"/>
  <c r="U8" i="53"/>
  <c r="S8" i="53"/>
  <c r="Q8" i="53"/>
  <c r="P8" i="53"/>
  <c r="N8" i="53"/>
  <c r="L8" i="53"/>
  <c r="J8" i="53"/>
  <c r="H8" i="53"/>
  <c r="G8" i="53"/>
  <c r="F8" i="53"/>
  <c r="AA25" i="54"/>
  <c r="Z25" i="54"/>
  <c r="Y25" i="54"/>
  <c r="W25" i="54"/>
  <c r="X25" i="54" s="1"/>
  <c r="U25" i="54"/>
  <c r="S25" i="54"/>
  <c r="Q25" i="54"/>
  <c r="P25" i="54"/>
  <c r="N25" i="54"/>
  <c r="L25" i="54"/>
  <c r="J25" i="54"/>
  <c r="H25" i="54"/>
  <c r="G25" i="54"/>
  <c r="F25" i="54"/>
  <c r="AA24" i="54"/>
  <c r="Z24" i="54"/>
  <c r="Y24" i="54"/>
  <c r="W24" i="54"/>
  <c r="U24" i="54"/>
  <c r="S24" i="54"/>
  <c r="T24" i="54" s="1"/>
  <c r="Q24" i="54"/>
  <c r="P24" i="54"/>
  <c r="N24" i="54"/>
  <c r="L24" i="54"/>
  <c r="J24" i="54"/>
  <c r="H24" i="54"/>
  <c r="G24" i="54"/>
  <c r="F24" i="54"/>
  <c r="AA23" i="54"/>
  <c r="Z23" i="54"/>
  <c r="Y23" i="54"/>
  <c r="W23" i="54"/>
  <c r="U23" i="54"/>
  <c r="S23" i="54"/>
  <c r="T23" i="54" s="1"/>
  <c r="Q23" i="54"/>
  <c r="P23" i="54"/>
  <c r="O23" i="54" s="1"/>
  <c r="N23" i="54"/>
  <c r="L23" i="54"/>
  <c r="J23" i="54"/>
  <c r="H23" i="54"/>
  <c r="G23" i="54"/>
  <c r="F23" i="54"/>
  <c r="AA22" i="54"/>
  <c r="Z22" i="54"/>
  <c r="Y22" i="54"/>
  <c r="W22" i="54"/>
  <c r="U22" i="54"/>
  <c r="S22" i="54"/>
  <c r="Q22" i="54"/>
  <c r="P22" i="54"/>
  <c r="N22" i="54"/>
  <c r="L22" i="54"/>
  <c r="J22" i="54"/>
  <c r="H22" i="54"/>
  <c r="G22" i="54"/>
  <c r="F22" i="54"/>
  <c r="AA21" i="54"/>
  <c r="Z21" i="54"/>
  <c r="Y21" i="54"/>
  <c r="W21" i="54"/>
  <c r="X21" i="54" s="1"/>
  <c r="U21" i="54"/>
  <c r="S21" i="54"/>
  <c r="Q21" i="54"/>
  <c r="P21" i="54"/>
  <c r="N21" i="54"/>
  <c r="L21" i="54"/>
  <c r="J21" i="54"/>
  <c r="H21" i="54"/>
  <c r="G21" i="54"/>
  <c r="F21" i="54"/>
  <c r="AA20" i="54"/>
  <c r="Z20" i="54"/>
  <c r="Y20" i="54"/>
  <c r="W20" i="54"/>
  <c r="X20" i="54" s="1"/>
  <c r="U20" i="54"/>
  <c r="S20" i="54"/>
  <c r="T20" i="54" s="1"/>
  <c r="Q20" i="54"/>
  <c r="P20" i="54"/>
  <c r="N20" i="54"/>
  <c r="L20" i="54"/>
  <c r="J20" i="54"/>
  <c r="H20" i="54"/>
  <c r="G20" i="54"/>
  <c r="F20" i="54"/>
  <c r="AA19" i="54"/>
  <c r="Z19" i="54"/>
  <c r="Y19" i="54"/>
  <c r="W19" i="54"/>
  <c r="U19" i="54"/>
  <c r="S19" i="54"/>
  <c r="T19" i="54" s="1"/>
  <c r="Q19" i="54"/>
  <c r="P19" i="54"/>
  <c r="K19" i="54" s="1"/>
  <c r="N19" i="54"/>
  <c r="L19" i="54"/>
  <c r="J19" i="54"/>
  <c r="H19" i="54"/>
  <c r="G19" i="54"/>
  <c r="F19" i="54"/>
  <c r="AA18" i="54"/>
  <c r="Z18" i="54"/>
  <c r="Y18" i="54"/>
  <c r="W18" i="54"/>
  <c r="U18" i="54"/>
  <c r="S18" i="54"/>
  <c r="Q18" i="54"/>
  <c r="P18" i="54"/>
  <c r="K18" i="54" s="1"/>
  <c r="N18" i="54"/>
  <c r="L18" i="54"/>
  <c r="J18" i="54"/>
  <c r="H18" i="54"/>
  <c r="G18" i="54"/>
  <c r="F18" i="54"/>
  <c r="AA17" i="54"/>
  <c r="Z17" i="54"/>
  <c r="Y17" i="54"/>
  <c r="W17" i="54"/>
  <c r="U17" i="54"/>
  <c r="S17" i="54"/>
  <c r="Q17" i="54"/>
  <c r="P17" i="54"/>
  <c r="N17" i="54"/>
  <c r="L17" i="54"/>
  <c r="J17" i="54"/>
  <c r="H17" i="54"/>
  <c r="G17" i="54"/>
  <c r="F17" i="54"/>
  <c r="AA16" i="54"/>
  <c r="Z16" i="54"/>
  <c r="Y16" i="54"/>
  <c r="W16" i="54"/>
  <c r="X16" i="54" s="1"/>
  <c r="U16" i="54"/>
  <c r="V16" i="54" s="1"/>
  <c r="S16" i="54"/>
  <c r="T16" i="54" s="1"/>
  <c r="Q16" i="54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P15" i="54"/>
  <c r="K15" i="54" s="1"/>
  <c r="N15" i="54"/>
  <c r="L15" i="54"/>
  <c r="J15" i="54"/>
  <c r="H15" i="54"/>
  <c r="G15" i="54"/>
  <c r="F15" i="54"/>
  <c r="AA14" i="54"/>
  <c r="Z14" i="54"/>
  <c r="Y14" i="54"/>
  <c r="W14" i="54"/>
  <c r="U14" i="54"/>
  <c r="S14" i="54"/>
  <c r="Q14" i="54"/>
  <c r="P14" i="54"/>
  <c r="K14" i="54" s="1"/>
  <c r="N14" i="54"/>
  <c r="L14" i="54"/>
  <c r="J14" i="54"/>
  <c r="H14" i="54"/>
  <c r="G14" i="54"/>
  <c r="F14" i="54"/>
  <c r="AA13" i="54"/>
  <c r="Z13" i="54"/>
  <c r="Y13" i="54"/>
  <c r="W13" i="54"/>
  <c r="X13" i="54" s="1"/>
  <c r="U13" i="54"/>
  <c r="S13" i="54"/>
  <c r="Q13" i="54"/>
  <c r="P13" i="54"/>
  <c r="N13" i="54"/>
  <c r="L13" i="54"/>
  <c r="J13" i="54"/>
  <c r="H13" i="54"/>
  <c r="I13" i="54" s="1"/>
  <c r="G13" i="54"/>
  <c r="F13" i="54"/>
  <c r="AA12" i="54"/>
  <c r="Z12" i="54"/>
  <c r="Y12" i="54"/>
  <c r="W12" i="54"/>
  <c r="U12" i="54"/>
  <c r="S12" i="54"/>
  <c r="Q12" i="54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N11" i="54"/>
  <c r="L11" i="54"/>
  <c r="J11" i="54"/>
  <c r="H11" i="54"/>
  <c r="G11" i="54"/>
  <c r="F11" i="54"/>
  <c r="AA10" i="54"/>
  <c r="Z10" i="54"/>
  <c r="Y10" i="54"/>
  <c r="W10" i="54"/>
  <c r="U10" i="54"/>
  <c r="S10" i="54"/>
  <c r="Q10" i="54"/>
  <c r="P10" i="54"/>
  <c r="N10" i="54"/>
  <c r="L10" i="54"/>
  <c r="J10" i="54"/>
  <c r="H10" i="54"/>
  <c r="G10" i="54"/>
  <c r="F10" i="54"/>
  <c r="AA9" i="54"/>
  <c r="Z9" i="54"/>
  <c r="Y9" i="54"/>
  <c r="W9" i="54"/>
  <c r="U9" i="54"/>
  <c r="S9" i="54"/>
  <c r="Q9" i="54"/>
  <c r="P9" i="54"/>
  <c r="N9" i="54"/>
  <c r="L9" i="54"/>
  <c r="J9" i="54"/>
  <c r="H9" i="54"/>
  <c r="G9" i="54"/>
  <c r="F9" i="54"/>
  <c r="AA8" i="54"/>
  <c r="Z8" i="54"/>
  <c r="Y8" i="54"/>
  <c r="W8" i="54"/>
  <c r="U8" i="54"/>
  <c r="S8" i="54"/>
  <c r="T8" i="54" s="1"/>
  <c r="Q8" i="54"/>
  <c r="P8" i="54"/>
  <c r="N8" i="54"/>
  <c r="L8" i="54"/>
  <c r="J8" i="54"/>
  <c r="H8" i="54"/>
  <c r="G8" i="54"/>
  <c r="F8" i="54"/>
  <c r="O25" i="54"/>
  <c r="R24" i="54"/>
  <c r="V23" i="54"/>
  <c r="V22" i="54"/>
  <c r="R22" i="54"/>
  <c r="K21" i="54"/>
  <c r="R20" i="54"/>
  <c r="V19" i="54"/>
  <c r="R18" i="54"/>
  <c r="R16" i="54"/>
  <c r="R12" i="54"/>
  <c r="V10" i="54"/>
  <c r="AA25" i="52"/>
  <c r="Z25" i="52"/>
  <c r="Y25" i="52"/>
  <c r="X25" i="52" s="1"/>
  <c r="W25" i="52"/>
  <c r="U25" i="52"/>
  <c r="S25" i="52"/>
  <c r="Q25" i="52"/>
  <c r="P25" i="52"/>
  <c r="N25" i="52"/>
  <c r="O25" i="52" s="1"/>
  <c r="L25" i="52"/>
  <c r="J25" i="52"/>
  <c r="H25" i="52"/>
  <c r="G25" i="52"/>
  <c r="F25" i="52"/>
  <c r="AA24" i="52"/>
  <c r="Z24" i="52"/>
  <c r="Y24" i="52"/>
  <c r="W24" i="52"/>
  <c r="U24" i="52"/>
  <c r="S24" i="52"/>
  <c r="Q24" i="52"/>
  <c r="P24" i="52"/>
  <c r="N24" i="52"/>
  <c r="L24" i="52"/>
  <c r="J24" i="52"/>
  <c r="H24" i="52"/>
  <c r="G24" i="52"/>
  <c r="F24" i="52"/>
  <c r="AA23" i="52"/>
  <c r="Z23" i="52"/>
  <c r="Y23" i="52"/>
  <c r="W23" i="52"/>
  <c r="U23" i="52"/>
  <c r="S23" i="52"/>
  <c r="Q23" i="52"/>
  <c r="P23" i="52"/>
  <c r="N23" i="52"/>
  <c r="L23" i="52"/>
  <c r="J23" i="52"/>
  <c r="H23" i="52"/>
  <c r="G23" i="52"/>
  <c r="F23" i="52"/>
  <c r="AA22" i="52"/>
  <c r="Z22" i="52"/>
  <c r="Y22" i="52"/>
  <c r="W22" i="52"/>
  <c r="U22" i="52"/>
  <c r="S22" i="52"/>
  <c r="Q22" i="52"/>
  <c r="P22" i="52"/>
  <c r="N22" i="52"/>
  <c r="L22" i="52"/>
  <c r="J22" i="52"/>
  <c r="H22" i="52"/>
  <c r="G22" i="52"/>
  <c r="F22" i="52"/>
  <c r="AA21" i="52"/>
  <c r="Z21" i="52"/>
  <c r="Y21" i="52"/>
  <c r="W21" i="52"/>
  <c r="U21" i="52"/>
  <c r="S21" i="52"/>
  <c r="Q21" i="52"/>
  <c r="P21" i="52"/>
  <c r="N21" i="52"/>
  <c r="L21" i="52"/>
  <c r="M21" i="52" s="1"/>
  <c r="J21" i="52"/>
  <c r="H21" i="52"/>
  <c r="G21" i="52"/>
  <c r="F21" i="52"/>
  <c r="AA20" i="52"/>
  <c r="Z20" i="52"/>
  <c r="Y20" i="52"/>
  <c r="W20" i="52"/>
  <c r="U20" i="52"/>
  <c r="S20" i="52"/>
  <c r="Q20" i="52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AA17" i="52"/>
  <c r="Z17" i="52"/>
  <c r="Y17" i="52"/>
  <c r="W17" i="52"/>
  <c r="U17" i="52"/>
  <c r="S17" i="52"/>
  <c r="Q17" i="52"/>
  <c r="P17" i="52"/>
  <c r="N17" i="52"/>
  <c r="L17" i="52"/>
  <c r="J17" i="52"/>
  <c r="K17" i="52" s="1"/>
  <c r="H17" i="52"/>
  <c r="G17" i="52"/>
  <c r="F17" i="52"/>
  <c r="AA16" i="52"/>
  <c r="Z16" i="52"/>
  <c r="Y16" i="52"/>
  <c r="W16" i="52"/>
  <c r="U16" i="52"/>
  <c r="S16" i="52"/>
  <c r="Q16" i="52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K13" i="52" s="1"/>
  <c r="H13" i="52"/>
  <c r="G13" i="52"/>
  <c r="F13" i="52"/>
  <c r="AA12" i="52"/>
  <c r="Z12" i="52"/>
  <c r="Y12" i="52"/>
  <c r="W12" i="52"/>
  <c r="U12" i="52"/>
  <c r="S12" i="52"/>
  <c r="Q12" i="52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K11" i="52" s="1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K9" i="52" s="1"/>
  <c r="H9" i="52"/>
  <c r="G9" i="52"/>
  <c r="F9" i="52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X23" i="52"/>
  <c r="I23" i="52"/>
  <c r="M17" i="52"/>
  <c r="AA25" i="51"/>
  <c r="Z25" i="51"/>
  <c r="Y25" i="51"/>
  <c r="W25" i="51"/>
  <c r="U25" i="51"/>
  <c r="S25" i="51"/>
  <c r="Q25" i="51"/>
  <c r="P25" i="51"/>
  <c r="N25" i="51"/>
  <c r="L25" i="51"/>
  <c r="J25" i="51"/>
  <c r="H25" i="51"/>
  <c r="G25" i="51"/>
  <c r="F25" i="51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G19" i="51"/>
  <c r="F19" i="51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K24" i="53" l="1"/>
  <c r="X22" i="53"/>
  <c r="T10" i="53"/>
  <c r="T14" i="53"/>
  <c r="T22" i="53"/>
  <c r="V17" i="53"/>
  <c r="R10" i="53"/>
  <c r="R14" i="53"/>
  <c r="R18" i="53"/>
  <c r="R24" i="53"/>
  <c r="V20" i="53"/>
  <c r="K20" i="53"/>
  <c r="O12" i="53"/>
  <c r="O24" i="53"/>
  <c r="T24" i="53"/>
  <c r="I19" i="51"/>
  <c r="I23" i="51"/>
  <c r="V19" i="53"/>
  <c r="O9" i="53"/>
  <c r="K13" i="53"/>
  <c r="X15" i="53"/>
  <c r="K17" i="53"/>
  <c r="I19" i="53"/>
  <c r="X19" i="53"/>
  <c r="O21" i="53"/>
  <c r="I23" i="53"/>
  <c r="X23" i="53"/>
  <c r="K19" i="53"/>
  <c r="R17" i="53"/>
  <c r="K23" i="53"/>
  <c r="M24" i="51"/>
  <c r="T16" i="52"/>
  <c r="T20" i="52"/>
  <c r="X24" i="54"/>
  <c r="R16" i="52"/>
  <c r="M18" i="54"/>
  <c r="M22" i="54"/>
  <c r="M24" i="53"/>
  <c r="I18" i="52"/>
  <c r="V14" i="54"/>
  <c r="V12" i="54"/>
  <c r="R13" i="54"/>
  <c r="O14" i="54"/>
  <c r="R15" i="54"/>
  <c r="R17" i="54"/>
  <c r="O18" i="54"/>
  <c r="R19" i="54"/>
  <c r="R23" i="54"/>
  <c r="V24" i="54"/>
  <c r="V25" i="54"/>
  <c r="O8" i="53"/>
  <c r="V10" i="53"/>
  <c r="V11" i="53"/>
  <c r="R13" i="53"/>
  <c r="V15" i="53"/>
  <c r="V23" i="53"/>
  <c r="R25" i="53"/>
  <c r="O10" i="52"/>
  <c r="O14" i="52"/>
  <c r="O18" i="52"/>
  <c r="K10" i="54"/>
  <c r="T15" i="54"/>
  <c r="T10" i="54"/>
  <c r="T14" i="54"/>
  <c r="T18" i="54"/>
  <c r="T22" i="54"/>
  <c r="X23" i="54"/>
  <c r="M11" i="53"/>
  <c r="M14" i="53"/>
  <c r="O19" i="53"/>
  <c r="X21" i="53"/>
  <c r="M23" i="53"/>
  <c r="X25" i="53"/>
  <c r="I9" i="53"/>
  <c r="K8" i="54"/>
  <c r="K25" i="51"/>
  <c r="O22" i="52"/>
  <c r="X17" i="54"/>
  <c r="X23" i="51"/>
  <c r="R25" i="51"/>
  <c r="K10" i="51"/>
  <c r="O11" i="51"/>
  <c r="K18" i="51"/>
  <c r="T22" i="51"/>
  <c r="O8" i="52"/>
  <c r="K15" i="52"/>
  <c r="T15" i="52"/>
  <c r="K19" i="52"/>
  <c r="T19" i="52"/>
  <c r="O20" i="52"/>
  <c r="V22" i="52"/>
  <c r="K23" i="52"/>
  <c r="O24" i="52"/>
  <c r="M13" i="54"/>
  <c r="X19" i="54"/>
  <c r="O21" i="54"/>
  <c r="I25" i="53"/>
  <c r="I22" i="52"/>
  <c r="K11" i="54"/>
  <c r="V15" i="54"/>
  <c r="M22" i="51"/>
  <c r="M25" i="51"/>
  <c r="R12" i="52"/>
  <c r="K14" i="52"/>
  <c r="K18" i="52"/>
  <c r="R20" i="52"/>
  <c r="R24" i="52"/>
  <c r="O25" i="51"/>
  <c r="R8" i="54"/>
  <c r="R14" i="54"/>
  <c r="K9" i="53"/>
  <c r="M10" i="54"/>
  <c r="M14" i="54"/>
  <c r="O22" i="54"/>
  <c r="M8" i="53"/>
  <c r="T17" i="53"/>
  <c r="O20" i="53"/>
  <c r="R17" i="51"/>
  <c r="X21" i="51"/>
  <c r="X25" i="51"/>
  <c r="I21" i="52"/>
  <c r="X21" i="52"/>
  <c r="I23" i="54"/>
  <c r="I13" i="53"/>
  <c r="I17" i="53"/>
  <c r="I21" i="53"/>
  <c r="K17" i="54"/>
  <c r="R15" i="53"/>
  <c r="M21" i="53"/>
  <c r="R23" i="53"/>
  <c r="O15" i="54"/>
  <c r="K23" i="54"/>
  <c r="R25" i="54"/>
  <c r="R9" i="54"/>
  <c r="V18" i="54"/>
  <c r="R21" i="54"/>
  <c r="R19" i="53"/>
  <c r="K21" i="53"/>
  <c r="K25" i="53"/>
  <c r="I16" i="51"/>
  <c r="K9" i="54"/>
  <c r="I11" i="54"/>
  <c r="I15" i="54"/>
  <c r="K25" i="54"/>
  <c r="I17" i="51"/>
  <c r="K8" i="52"/>
  <c r="V11" i="52"/>
  <c r="R14" i="52"/>
  <c r="K16" i="52"/>
  <c r="R18" i="52"/>
  <c r="K20" i="52"/>
  <c r="R22" i="52"/>
  <c r="K24" i="52"/>
  <c r="X24" i="52"/>
  <c r="R11" i="53"/>
  <c r="M19" i="53"/>
  <c r="T9" i="54"/>
  <c r="I10" i="54"/>
  <c r="X10" i="54"/>
  <c r="M11" i="54"/>
  <c r="T13" i="54"/>
  <c r="I14" i="54"/>
  <c r="X14" i="54"/>
  <c r="M15" i="54"/>
  <c r="O16" i="54"/>
  <c r="T17" i="54"/>
  <c r="X18" i="54"/>
  <c r="M19" i="54"/>
  <c r="T21" i="54"/>
  <c r="X22" i="54"/>
  <c r="M23" i="54"/>
  <c r="T25" i="54"/>
  <c r="X8" i="53"/>
  <c r="T11" i="53"/>
  <c r="X12" i="53"/>
  <c r="T15" i="53"/>
  <c r="O22" i="53"/>
  <c r="M25" i="53"/>
  <c r="I19" i="54"/>
  <c r="V9" i="54"/>
  <c r="O11" i="54"/>
  <c r="V13" i="54"/>
  <c r="V17" i="54"/>
  <c r="O19" i="54"/>
  <c r="V21" i="54"/>
  <c r="M17" i="54"/>
  <c r="O12" i="51"/>
  <c r="M13" i="52"/>
  <c r="K8" i="53"/>
  <c r="O17" i="54"/>
  <c r="K22" i="54"/>
  <c r="V17" i="51"/>
  <c r="T24" i="52"/>
  <c r="V10" i="52"/>
  <c r="V14" i="52"/>
  <c r="V18" i="52"/>
  <c r="V19" i="52"/>
  <c r="V23" i="52"/>
  <c r="I9" i="54"/>
  <c r="I25" i="54"/>
  <c r="M9" i="54"/>
  <c r="I21" i="54"/>
  <c r="T23" i="51"/>
  <c r="T11" i="51"/>
  <c r="O14" i="51"/>
  <c r="T15" i="51"/>
  <c r="T19" i="51"/>
  <c r="M21" i="54"/>
  <c r="T11" i="54"/>
  <c r="X17" i="51"/>
  <c r="V15" i="51"/>
  <c r="V20" i="51"/>
  <c r="V8" i="52"/>
  <c r="V9" i="52"/>
  <c r="V12" i="52"/>
  <c r="V13" i="52"/>
  <c r="V16" i="52"/>
  <c r="V17" i="52"/>
  <c r="V20" i="52"/>
  <c r="V21" i="52"/>
  <c r="V24" i="52"/>
  <c r="I17" i="54"/>
  <c r="M12" i="54"/>
  <c r="I18" i="54"/>
  <c r="M20" i="54"/>
  <c r="I22" i="54"/>
  <c r="M24" i="54"/>
  <c r="I8" i="53"/>
  <c r="I10" i="53"/>
  <c r="I12" i="53"/>
  <c r="I14" i="53"/>
  <c r="I16" i="53"/>
  <c r="I18" i="53"/>
  <c r="I20" i="53"/>
  <c r="I24" i="53"/>
  <c r="X11" i="51"/>
  <c r="X15" i="51"/>
  <c r="T18" i="51"/>
  <c r="V15" i="52"/>
  <c r="T23" i="52"/>
  <c r="R11" i="54"/>
  <c r="K8" i="51"/>
  <c r="X14" i="51"/>
  <c r="X18" i="51"/>
  <c r="I22" i="51"/>
  <c r="T12" i="52"/>
  <c r="V11" i="54"/>
  <c r="R11" i="52"/>
  <c r="R19" i="52"/>
  <c r="K21" i="52"/>
  <c r="K25" i="52"/>
  <c r="I8" i="54"/>
  <c r="T16" i="51"/>
  <c r="X12" i="52"/>
  <c r="X16" i="52"/>
  <c r="X20" i="52"/>
  <c r="R10" i="54"/>
  <c r="X12" i="51"/>
  <c r="M17" i="51"/>
  <c r="O12" i="54"/>
  <c r="K12" i="52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R25" i="52"/>
  <c r="M25" i="52"/>
  <c r="O10" i="53"/>
  <c r="I22" i="53"/>
  <c r="O8" i="54"/>
  <c r="R12" i="51"/>
  <c r="R14" i="51"/>
  <c r="O15" i="51"/>
  <c r="R16" i="51"/>
  <c r="V21" i="51"/>
  <c r="O23" i="51"/>
  <c r="T25" i="52"/>
  <c r="K22" i="53"/>
  <c r="I16" i="54"/>
  <c r="I20" i="54"/>
  <c r="I24" i="54"/>
  <c r="X8" i="54"/>
  <c r="O10" i="54"/>
  <c r="X9" i="52"/>
  <c r="V25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I25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V25" i="51"/>
  <c r="I9" i="52"/>
  <c r="I25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I9" i="51"/>
  <c r="I21" i="51"/>
  <c r="T8" i="51"/>
  <c r="I13" i="51"/>
  <c r="X13" i="51"/>
  <c r="I15" i="51"/>
  <c r="O19" i="51"/>
  <c r="T24" i="51"/>
  <c r="R9" i="51"/>
  <c r="V13" i="51"/>
  <c r="T9" i="51"/>
  <c r="T25" i="51"/>
  <c r="V9" i="51"/>
  <c r="K11" i="51"/>
  <c r="K15" i="51"/>
  <c r="K19" i="51"/>
  <c r="K23" i="51"/>
  <c r="M11" i="51"/>
  <c r="M15" i="51"/>
  <c r="M19" i="51"/>
  <c r="M23" i="51"/>
  <c r="B202" i="4" l="1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5" i="46"/>
  <c r="Z25" i="46"/>
  <c r="Y25" i="46"/>
  <c r="W25" i="46"/>
  <c r="U25" i="46"/>
  <c r="S25" i="46"/>
  <c r="Q25" i="46"/>
  <c r="P25" i="46"/>
  <c r="N25" i="46"/>
  <c r="L25" i="46"/>
  <c r="J25" i="46"/>
  <c r="H25" i="46"/>
  <c r="G25" i="46"/>
  <c r="F25" i="46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W22" i="46"/>
  <c r="U22" i="46"/>
  <c r="S22" i="46"/>
  <c r="Q22" i="46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AA25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5" i="37"/>
  <c r="AA24" i="37"/>
  <c r="AA23" i="37"/>
  <c r="AA22" i="37"/>
  <c r="AA21" i="37"/>
  <c r="AA20" i="37"/>
  <c r="AA19" i="37"/>
  <c r="AA18" i="37"/>
  <c r="AA17" i="37"/>
  <c r="AA16" i="37"/>
  <c r="AA15" i="37"/>
  <c r="AA14" i="37"/>
  <c r="AA13" i="37"/>
  <c r="AA12" i="37"/>
  <c r="AA11" i="37"/>
  <c r="AA10" i="37"/>
  <c r="AA9" i="37"/>
  <c r="AA8" i="37"/>
  <c r="Z25" i="37"/>
  <c r="Z24" i="37"/>
  <c r="Z23" i="37"/>
  <c r="Z22" i="37"/>
  <c r="Z21" i="37"/>
  <c r="Z20" i="37"/>
  <c r="Z19" i="37"/>
  <c r="Z18" i="37"/>
  <c r="Z17" i="37"/>
  <c r="Z16" i="37"/>
  <c r="Z15" i="37"/>
  <c r="Z14" i="37"/>
  <c r="Z13" i="37"/>
  <c r="Z12" i="37"/>
  <c r="Z11" i="37"/>
  <c r="Z10" i="37"/>
  <c r="Z9" i="37"/>
  <c r="Z8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W25" i="37"/>
  <c r="W24" i="37"/>
  <c r="W23" i="37"/>
  <c r="W22" i="37"/>
  <c r="W21" i="37"/>
  <c r="W20" i="37"/>
  <c r="W19" i="37"/>
  <c r="W18" i="37"/>
  <c r="W17" i="37"/>
  <c r="W16" i="37"/>
  <c r="W15" i="37"/>
  <c r="W14" i="37"/>
  <c r="W13" i="37"/>
  <c r="W12" i="37"/>
  <c r="W11" i="37"/>
  <c r="W10" i="37"/>
  <c r="W9" i="37"/>
  <c r="W8" i="37"/>
  <c r="U25" i="37"/>
  <c r="U24" i="37"/>
  <c r="U23" i="37"/>
  <c r="U22" i="37"/>
  <c r="U21" i="37"/>
  <c r="U20" i="37"/>
  <c r="U19" i="37"/>
  <c r="U18" i="37"/>
  <c r="U17" i="37"/>
  <c r="U16" i="37"/>
  <c r="U15" i="37"/>
  <c r="U14" i="37"/>
  <c r="U13" i="37"/>
  <c r="U12" i="37"/>
  <c r="U11" i="37"/>
  <c r="U10" i="37"/>
  <c r="U9" i="37"/>
  <c r="U8" i="37"/>
  <c r="S25" i="37"/>
  <c r="S24" i="37"/>
  <c r="S23" i="37"/>
  <c r="S22" i="37"/>
  <c r="S21" i="37"/>
  <c r="S20" i="37"/>
  <c r="S19" i="37"/>
  <c r="S18" i="37"/>
  <c r="S17" i="37"/>
  <c r="S16" i="37"/>
  <c r="S15" i="37"/>
  <c r="S14" i="37"/>
  <c r="S13" i="37"/>
  <c r="S12" i="37"/>
  <c r="S11" i="37"/>
  <c r="S10" i="37"/>
  <c r="S9" i="37"/>
  <c r="S8" i="37"/>
  <c r="Q25" i="37"/>
  <c r="R25" i="37" s="1"/>
  <c r="Q24" i="37"/>
  <c r="R24" i="37" s="1"/>
  <c r="Q23" i="37"/>
  <c r="R23" i="37" s="1"/>
  <c r="Q22" i="37"/>
  <c r="Q21" i="37"/>
  <c r="R21" i="37" s="1"/>
  <c r="Q20" i="37"/>
  <c r="R20" i="37" s="1"/>
  <c r="Q19" i="37"/>
  <c r="R19" i="37" s="1"/>
  <c r="Q18" i="37"/>
  <c r="R18" i="37" s="1"/>
  <c r="Q17" i="37"/>
  <c r="R17" i="37" s="1"/>
  <c r="Q16" i="37"/>
  <c r="R16" i="37" s="1"/>
  <c r="Q15" i="37"/>
  <c r="R15" i="37" s="1"/>
  <c r="Q14" i="37"/>
  <c r="R14" i="37" s="1"/>
  <c r="Q13" i="37"/>
  <c r="R13" i="37" s="1"/>
  <c r="Q12" i="37"/>
  <c r="R12" i="37" s="1"/>
  <c r="Q11" i="37"/>
  <c r="R11" i="37" s="1"/>
  <c r="Q10" i="37"/>
  <c r="Q9" i="37"/>
  <c r="R9" i="37" s="1"/>
  <c r="Q8" i="37"/>
  <c r="R8" i="37" s="1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J11" i="37"/>
  <c r="J10" i="37"/>
  <c r="J9" i="37"/>
  <c r="J8" i="37"/>
  <c r="H25" i="37"/>
  <c r="I25" i="37" s="1"/>
  <c r="H24" i="37"/>
  <c r="I24" i="37" s="1"/>
  <c r="H23" i="37"/>
  <c r="I23" i="37" s="1"/>
  <c r="H22" i="37"/>
  <c r="I22" i="37" s="1"/>
  <c r="H21" i="37"/>
  <c r="I21" i="37" s="1"/>
  <c r="H20" i="37"/>
  <c r="I20" i="37" s="1"/>
  <c r="H19" i="37"/>
  <c r="I19" i="37" s="1"/>
  <c r="H18" i="37"/>
  <c r="I18" i="37" s="1"/>
  <c r="H17" i="37"/>
  <c r="I17" i="37" s="1"/>
  <c r="H16" i="37"/>
  <c r="I16" i="37" s="1"/>
  <c r="H15" i="37"/>
  <c r="H14" i="37"/>
  <c r="I14" i="37" s="1"/>
  <c r="H13" i="37"/>
  <c r="I13" i="37" s="1"/>
  <c r="H12" i="37"/>
  <c r="I12" i="37" s="1"/>
  <c r="H11" i="37"/>
  <c r="I11" i="37" s="1"/>
  <c r="H10" i="37"/>
  <c r="I10" i="37" s="1"/>
  <c r="H9" i="37"/>
  <c r="I9" i="37" s="1"/>
  <c r="H8" i="37"/>
  <c r="I8" i="37" s="1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V203" i="4"/>
  <c r="E24" i="30" s="1"/>
  <c r="U203" i="4"/>
  <c r="E23" i="30" s="1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V101" i="4"/>
  <c r="C24" i="30" s="1"/>
  <c r="U101" i="4"/>
  <c r="C23" i="30" s="1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V178" i="4"/>
  <c r="K24" i="30" s="1"/>
  <c r="U178" i="4"/>
  <c r="K23" i="30" s="1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V127" i="4"/>
  <c r="J24" i="30" s="1"/>
  <c r="U127" i="4"/>
  <c r="J23" i="30" s="1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V76" i="4"/>
  <c r="I24" i="30" s="1"/>
  <c r="U76" i="4"/>
  <c r="I23" i="30" s="1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E25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H23" i="30" s="1"/>
  <c r="V25" i="4"/>
  <c r="H24" i="30" s="1"/>
  <c r="T25" i="38" l="1"/>
  <c r="R22" i="46"/>
  <c r="R22" i="37"/>
  <c r="K23" i="37"/>
  <c r="T13" i="37"/>
  <c r="T21" i="37"/>
  <c r="M24" i="38"/>
  <c r="I14" i="38"/>
  <c r="I18" i="38"/>
  <c r="M25" i="38"/>
  <c r="T21" i="46"/>
  <c r="V23" i="47"/>
  <c r="T24" i="46"/>
  <c r="O19" i="46"/>
  <c r="O22" i="46"/>
  <c r="V24" i="46"/>
  <c r="O25" i="47"/>
  <c r="M16" i="47"/>
  <c r="O24" i="47"/>
  <c r="X14" i="46"/>
  <c r="O17" i="47"/>
  <c r="V22" i="47"/>
  <c r="X24" i="47"/>
  <c r="M11" i="46"/>
  <c r="M15" i="46"/>
  <c r="M18" i="46"/>
  <c r="M22" i="46"/>
  <c r="M23" i="46"/>
  <c r="X25" i="46"/>
  <c r="T17" i="46"/>
  <c r="M13" i="37"/>
  <c r="M21" i="37"/>
  <c r="V11" i="37"/>
  <c r="V19" i="37"/>
  <c r="M19" i="46"/>
  <c r="M13" i="38"/>
  <c r="T15" i="38"/>
  <c r="X14" i="47"/>
  <c r="O11" i="37"/>
  <c r="O19" i="37"/>
  <c r="X9" i="37"/>
  <c r="X17" i="37"/>
  <c r="X25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V25" i="46"/>
  <c r="M11" i="37"/>
  <c r="M19" i="37"/>
  <c r="V9" i="37"/>
  <c r="V17" i="37"/>
  <c r="V25" i="37"/>
  <c r="M12" i="38"/>
  <c r="M16" i="38"/>
  <c r="T9" i="46"/>
  <c r="X13" i="46"/>
  <c r="X17" i="46"/>
  <c r="X21" i="46"/>
  <c r="T25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O25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T25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R25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M25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T8" i="46"/>
  <c r="T12" i="46"/>
  <c r="O13" i="37"/>
  <c r="O21" i="37"/>
  <c r="R14" i="38"/>
  <c r="V8" i="46"/>
  <c r="V12" i="46"/>
  <c r="O10" i="47"/>
  <c r="O14" i="47"/>
  <c r="O18" i="47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I25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25" i="46"/>
  <c r="K16" i="37"/>
  <c r="T9" i="38"/>
  <c r="K11" i="47"/>
  <c r="V9" i="47"/>
  <c r="V13" i="47"/>
  <c r="V25" i="47"/>
  <c r="K15" i="37"/>
  <c r="M14" i="37"/>
  <c r="M22" i="37"/>
  <c r="X18" i="37"/>
  <c r="M15" i="37"/>
  <c r="O15" i="37"/>
  <c r="O23" i="37"/>
  <c r="I15" i="37"/>
  <c r="K9" i="37"/>
  <c r="K17" i="37"/>
  <c r="K25" i="37"/>
  <c r="T15" i="37"/>
  <c r="T23" i="37"/>
  <c r="M9" i="37"/>
  <c r="M17" i="37"/>
  <c r="M25" i="37"/>
  <c r="V15" i="37"/>
  <c r="V23" i="37"/>
  <c r="X15" i="37"/>
  <c r="X23" i="37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O9" i="37"/>
  <c r="O17" i="37"/>
  <c r="O25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K7" i="30" l="1"/>
  <c r="D11" i="30" l="1"/>
  <c r="J22" i="2" l="1"/>
  <c r="J19" i="30"/>
  <c r="J17" i="2"/>
  <c r="J19" i="2"/>
  <c r="J6" i="30"/>
  <c r="J7" i="30"/>
  <c r="J13" i="2"/>
  <c r="J12" i="30"/>
  <c r="J26" i="2"/>
  <c r="J28" i="2"/>
  <c r="Q258" i="4"/>
  <c r="P258" i="4"/>
  <c r="H258" i="4"/>
  <c r="G258" i="4"/>
  <c r="E258" i="4"/>
  <c r="S247" i="4"/>
  <c r="R247" i="4"/>
  <c r="Q247" i="4"/>
  <c r="P247" i="4"/>
  <c r="M247" i="4"/>
  <c r="L247" i="4"/>
  <c r="K247" i="4"/>
  <c r="J247" i="4"/>
  <c r="H247" i="4"/>
  <c r="G247" i="4"/>
  <c r="S246" i="4"/>
  <c r="R246" i="4"/>
  <c r="Q246" i="4"/>
  <c r="P246" i="4"/>
  <c r="M246" i="4"/>
  <c r="L246" i="4"/>
  <c r="K246" i="4"/>
  <c r="J246" i="4"/>
  <c r="H246" i="4"/>
  <c r="G246" i="4"/>
  <c r="S245" i="4"/>
  <c r="R245" i="4"/>
  <c r="Q245" i="4"/>
  <c r="P245" i="4"/>
  <c r="M245" i="4"/>
  <c r="L245" i="4"/>
  <c r="K245" i="4"/>
  <c r="J245" i="4"/>
  <c r="H245" i="4"/>
  <c r="G245" i="4"/>
  <c r="S244" i="4"/>
  <c r="R244" i="4"/>
  <c r="Q244" i="4"/>
  <c r="P244" i="4"/>
  <c r="M244" i="4"/>
  <c r="L244" i="4"/>
  <c r="K244" i="4"/>
  <c r="J244" i="4"/>
  <c r="H244" i="4"/>
  <c r="G244" i="4"/>
  <c r="S243" i="4"/>
  <c r="R243" i="4"/>
  <c r="Q243" i="4"/>
  <c r="P243" i="4"/>
  <c r="M243" i="4"/>
  <c r="L243" i="4"/>
  <c r="K243" i="4"/>
  <c r="J243" i="4"/>
  <c r="H243" i="4"/>
  <c r="G243" i="4"/>
  <c r="S242" i="4"/>
  <c r="R242" i="4"/>
  <c r="Q242" i="4"/>
  <c r="P242" i="4"/>
  <c r="M242" i="4"/>
  <c r="L242" i="4"/>
  <c r="K242" i="4"/>
  <c r="J242" i="4"/>
  <c r="H242" i="4"/>
  <c r="G242" i="4"/>
  <c r="S241" i="4"/>
  <c r="R241" i="4"/>
  <c r="M241" i="4"/>
  <c r="L241" i="4"/>
  <c r="K241" i="4"/>
  <c r="J241" i="4"/>
  <c r="S240" i="4"/>
  <c r="R240" i="4"/>
  <c r="Q240" i="4"/>
  <c r="P240" i="4"/>
  <c r="M240" i="4"/>
  <c r="L240" i="4"/>
  <c r="K240" i="4"/>
  <c r="J240" i="4"/>
  <c r="H240" i="4"/>
  <c r="G240" i="4"/>
  <c r="E6" i="30"/>
  <c r="E7" i="30"/>
  <c r="E11" i="30"/>
  <c r="L213" i="4"/>
  <c r="L248" i="4" s="1"/>
  <c r="M213" i="4"/>
  <c r="M248" i="4" s="1"/>
  <c r="K19" i="6"/>
  <c r="E17" i="30"/>
  <c r="E18" i="30"/>
  <c r="E19" i="30"/>
  <c r="S213" i="4"/>
  <c r="S248" i="4" s="1"/>
  <c r="K26" i="6"/>
  <c r="K27" i="6"/>
  <c r="K28" i="6"/>
  <c r="K6" i="30"/>
  <c r="L10" i="2"/>
  <c r="L15" i="2"/>
  <c r="L17" i="2"/>
  <c r="L19" i="2"/>
  <c r="L20" i="2"/>
  <c r="K18" i="30"/>
  <c r="L24" i="2"/>
  <c r="L26" i="2"/>
  <c r="D6" i="30"/>
  <c r="I10" i="6"/>
  <c r="I13" i="6"/>
  <c r="I19" i="6"/>
  <c r="I20" i="6"/>
  <c r="I22" i="6"/>
  <c r="I24" i="6"/>
  <c r="I26" i="6"/>
  <c r="D23" i="30"/>
  <c r="J24" i="2"/>
  <c r="C6" i="30"/>
  <c r="C7" i="30"/>
  <c r="C11" i="30"/>
  <c r="C12" i="30"/>
  <c r="C13" i="30"/>
  <c r="G19" i="6"/>
  <c r="C17" i="30"/>
  <c r="C18" i="30"/>
  <c r="G24" i="6"/>
  <c r="G26" i="6"/>
  <c r="G27" i="6"/>
  <c r="I6" i="30"/>
  <c r="I7" i="30"/>
  <c r="I11" i="30"/>
  <c r="I12" i="30"/>
  <c r="I13" i="30"/>
  <c r="H19" i="2"/>
  <c r="I17" i="30"/>
  <c r="H22" i="2"/>
  <c r="I19" i="30"/>
  <c r="H26" i="2"/>
  <c r="H27" i="2"/>
  <c r="E7" i="6"/>
  <c r="B7" i="30"/>
  <c r="E13" i="6"/>
  <c r="B12" i="30"/>
  <c r="E17" i="6"/>
  <c r="E19" i="6"/>
  <c r="E20" i="6"/>
  <c r="B18" i="30"/>
  <c r="B19" i="30"/>
  <c r="E26" i="6"/>
  <c r="H6" i="30"/>
  <c r="H7" i="30"/>
  <c r="F13" i="2"/>
  <c r="H13" i="30"/>
  <c r="F19" i="2"/>
  <c r="H17" i="30"/>
  <c r="H18" i="30"/>
  <c r="H19" i="30"/>
  <c r="F26" i="2"/>
  <c r="F28" i="2"/>
  <c r="C271" i="4"/>
  <c r="G214" i="4"/>
  <c r="G249" i="4" s="1"/>
  <c r="H214" i="4"/>
  <c r="H249" i="4" s="1"/>
  <c r="J214" i="4"/>
  <c r="J249" i="4" s="1"/>
  <c r="K214" i="4"/>
  <c r="K249" i="4" s="1"/>
  <c r="L214" i="4"/>
  <c r="L249" i="4" s="1"/>
  <c r="M214" i="4"/>
  <c r="M249" i="4" s="1"/>
  <c r="P214" i="4"/>
  <c r="P249" i="4" s="1"/>
  <c r="Q214" i="4"/>
  <c r="Q249" i="4" s="1"/>
  <c r="R214" i="4"/>
  <c r="R249" i="4" s="1"/>
  <c r="S214" i="4"/>
  <c r="S249" i="4" s="1"/>
  <c r="G215" i="4"/>
  <c r="G250" i="4" s="1"/>
  <c r="H215" i="4"/>
  <c r="H250" i="4" s="1"/>
  <c r="J215" i="4"/>
  <c r="J250" i="4" s="1"/>
  <c r="K215" i="4"/>
  <c r="K250" i="4" s="1"/>
  <c r="L215" i="4"/>
  <c r="L250" i="4" s="1"/>
  <c r="M215" i="4"/>
  <c r="M250" i="4" s="1"/>
  <c r="P215" i="4"/>
  <c r="P250" i="4" s="1"/>
  <c r="Q215" i="4"/>
  <c r="Q250" i="4" s="1"/>
  <c r="R215" i="4"/>
  <c r="R250" i="4" s="1"/>
  <c r="S215" i="4"/>
  <c r="S250" i="4" s="1"/>
  <c r="G216" i="4"/>
  <c r="G251" i="4" s="1"/>
  <c r="H216" i="4"/>
  <c r="H251" i="4" s="1"/>
  <c r="J216" i="4"/>
  <c r="J251" i="4" s="1"/>
  <c r="K216" i="4"/>
  <c r="K251" i="4" s="1"/>
  <c r="L216" i="4"/>
  <c r="L251" i="4" s="1"/>
  <c r="M216" i="4"/>
  <c r="M251" i="4" s="1"/>
  <c r="P216" i="4"/>
  <c r="P251" i="4" s="1"/>
  <c r="Q216" i="4"/>
  <c r="Q251" i="4" s="1"/>
  <c r="R216" i="4"/>
  <c r="R251" i="4" s="1"/>
  <c r="S216" i="4"/>
  <c r="S251" i="4" s="1"/>
  <c r="G217" i="4"/>
  <c r="G252" i="4" s="1"/>
  <c r="H217" i="4"/>
  <c r="H252" i="4" s="1"/>
  <c r="J217" i="4"/>
  <c r="J252" i="4" s="1"/>
  <c r="K217" i="4"/>
  <c r="K252" i="4" s="1"/>
  <c r="L217" i="4"/>
  <c r="L252" i="4" s="1"/>
  <c r="M217" i="4"/>
  <c r="M252" i="4" s="1"/>
  <c r="P217" i="4"/>
  <c r="P252" i="4" s="1"/>
  <c r="Q217" i="4"/>
  <c r="Q252" i="4" s="1"/>
  <c r="R217" i="4"/>
  <c r="R252" i="4" s="1"/>
  <c r="S217" i="4"/>
  <c r="S252" i="4" s="1"/>
  <c r="G218" i="4"/>
  <c r="G253" i="4" s="1"/>
  <c r="H218" i="4"/>
  <c r="H253" i="4" s="1"/>
  <c r="J218" i="4"/>
  <c r="J253" i="4" s="1"/>
  <c r="K218" i="4"/>
  <c r="K253" i="4" s="1"/>
  <c r="L218" i="4"/>
  <c r="L253" i="4" s="1"/>
  <c r="M218" i="4"/>
  <c r="M253" i="4" s="1"/>
  <c r="P218" i="4"/>
  <c r="P253" i="4" s="1"/>
  <c r="Q218" i="4"/>
  <c r="Q253" i="4" s="1"/>
  <c r="R218" i="4"/>
  <c r="R253" i="4" s="1"/>
  <c r="S218" i="4"/>
  <c r="S253" i="4" s="1"/>
  <c r="G219" i="4"/>
  <c r="G254" i="4" s="1"/>
  <c r="H219" i="4"/>
  <c r="H254" i="4" s="1"/>
  <c r="J219" i="4"/>
  <c r="J254" i="4" s="1"/>
  <c r="K219" i="4"/>
  <c r="K254" i="4" s="1"/>
  <c r="L219" i="4"/>
  <c r="L254" i="4" s="1"/>
  <c r="M219" i="4"/>
  <c r="M254" i="4" s="1"/>
  <c r="P219" i="4"/>
  <c r="P254" i="4" s="1"/>
  <c r="Q219" i="4"/>
  <c r="Q254" i="4" s="1"/>
  <c r="R219" i="4"/>
  <c r="R254" i="4" s="1"/>
  <c r="S219" i="4"/>
  <c r="S254" i="4" s="1"/>
  <c r="G220" i="4"/>
  <c r="G255" i="4" s="1"/>
  <c r="H220" i="4"/>
  <c r="H255" i="4" s="1"/>
  <c r="J220" i="4"/>
  <c r="J255" i="4" s="1"/>
  <c r="K220" i="4"/>
  <c r="K255" i="4" s="1"/>
  <c r="L220" i="4"/>
  <c r="L255" i="4" s="1"/>
  <c r="M220" i="4"/>
  <c r="M255" i="4" s="1"/>
  <c r="P220" i="4"/>
  <c r="P255" i="4" s="1"/>
  <c r="Q220" i="4"/>
  <c r="Q255" i="4" s="1"/>
  <c r="R220" i="4"/>
  <c r="R255" i="4" s="1"/>
  <c r="S220" i="4"/>
  <c r="S255" i="4" s="1"/>
  <c r="G221" i="4"/>
  <c r="H221" i="4"/>
  <c r="J221" i="4"/>
  <c r="K221" i="4"/>
  <c r="L221" i="4"/>
  <c r="M221" i="4"/>
  <c r="P221" i="4"/>
  <c r="Q221" i="4"/>
  <c r="R221" i="4"/>
  <c r="S221" i="4"/>
  <c r="G222" i="4"/>
  <c r="H222" i="4"/>
  <c r="J222" i="4"/>
  <c r="K222" i="4"/>
  <c r="L222" i="4"/>
  <c r="M222" i="4"/>
  <c r="P222" i="4"/>
  <c r="Q222" i="4"/>
  <c r="R222" i="4"/>
  <c r="S222" i="4"/>
  <c r="G223" i="4"/>
  <c r="H223" i="4"/>
  <c r="J223" i="4"/>
  <c r="K223" i="4"/>
  <c r="L223" i="4"/>
  <c r="M223" i="4"/>
  <c r="P223" i="4"/>
  <c r="Q223" i="4"/>
  <c r="R223" i="4"/>
  <c r="S223" i="4"/>
  <c r="G224" i="4"/>
  <c r="H224" i="4"/>
  <c r="J224" i="4"/>
  <c r="K224" i="4"/>
  <c r="L224" i="4"/>
  <c r="M224" i="4"/>
  <c r="P224" i="4"/>
  <c r="Q224" i="4"/>
  <c r="R224" i="4"/>
  <c r="S224" i="4"/>
  <c r="G225" i="4"/>
  <c r="H225" i="4"/>
  <c r="J225" i="4"/>
  <c r="K225" i="4"/>
  <c r="L225" i="4"/>
  <c r="M225" i="4"/>
  <c r="P225" i="4"/>
  <c r="Q225" i="4"/>
  <c r="R225" i="4"/>
  <c r="S225" i="4"/>
  <c r="G226" i="4"/>
  <c r="H226" i="4"/>
  <c r="J226" i="4"/>
  <c r="K226" i="4"/>
  <c r="L226" i="4"/>
  <c r="M226" i="4"/>
  <c r="P226" i="4"/>
  <c r="Q226" i="4"/>
  <c r="R226" i="4"/>
  <c r="S226" i="4"/>
  <c r="G227" i="4"/>
  <c r="H227" i="4"/>
  <c r="J227" i="4"/>
  <c r="K227" i="4"/>
  <c r="L227" i="4"/>
  <c r="M227" i="4"/>
  <c r="P227" i="4"/>
  <c r="Q227" i="4"/>
  <c r="R227" i="4"/>
  <c r="S227" i="4"/>
  <c r="G228" i="4"/>
  <c r="H228" i="4"/>
  <c r="J228" i="4"/>
  <c r="K228" i="4"/>
  <c r="L228" i="4"/>
  <c r="M228" i="4"/>
  <c r="P228" i="4"/>
  <c r="Q228" i="4"/>
  <c r="R228" i="4"/>
  <c r="S228" i="4"/>
  <c r="G229" i="4"/>
  <c r="G239" i="4" s="1"/>
  <c r="H229" i="4"/>
  <c r="H239" i="4" s="1"/>
  <c r="J229" i="4"/>
  <c r="J239" i="4" s="1"/>
  <c r="K229" i="4"/>
  <c r="K239" i="4" s="1"/>
  <c r="L229" i="4"/>
  <c r="L239" i="4" s="1"/>
  <c r="M229" i="4"/>
  <c r="M239" i="4" s="1"/>
  <c r="P229" i="4"/>
  <c r="P239" i="4" s="1"/>
  <c r="Q229" i="4"/>
  <c r="Q239" i="4" s="1"/>
  <c r="R229" i="4"/>
  <c r="R239" i="4" s="1"/>
  <c r="S229" i="4"/>
  <c r="S239" i="4" s="1"/>
  <c r="E231" i="4"/>
  <c r="H274" i="4"/>
  <c r="G274" i="4"/>
  <c r="F274" i="4"/>
  <c r="H231" i="4"/>
  <c r="H241" i="4" s="1"/>
  <c r="G231" i="4"/>
  <c r="G241" i="4" s="1"/>
  <c r="Q231" i="4"/>
  <c r="Q241" i="4" s="1"/>
  <c r="P231" i="4"/>
  <c r="P241" i="4" s="1"/>
  <c r="J7" i="2"/>
  <c r="G213" i="4"/>
  <c r="G248" i="4" s="1"/>
  <c r="K20" i="6"/>
  <c r="G15" i="6"/>
  <c r="K13" i="30"/>
  <c r="J18" i="30"/>
  <c r="K22" i="6"/>
  <c r="K24" i="2" l="1"/>
  <c r="H15" i="6"/>
  <c r="K7" i="6"/>
  <c r="J13" i="6"/>
  <c r="L28" i="2"/>
  <c r="P213" i="4"/>
  <c r="P248" i="4" s="1"/>
  <c r="H213" i="4"/>
  <c r="H248" i="4" s="1"/>
  <c r="K10" i="6"/>
  <c r="K13" i="2"/>
  <c r="L20" i="6"/>
  <c r="L22" i="6"/>
  <c r="K17" i="2"/>
  <c r="M17" i="2"/>
  <c r="M15" i="2"/>
  <c r="I22" i="2"/>
  <c r="M20" i="2"/>
  <c r="M24" i="2"/>
  <c r="K22" i="2"/>
  <c r="H24" i="6"/>
  <c r="J20" i="6"/>
  <c r="G13" i="6"/>
  <c r="H13" i="6" s="1"/>
  <c r="J24" i="6"/>
  <c r="J22" i="6"/>
  <c r="G13" i="2"/>
  <c r="F17" i="6"/>
  <c r="F13" i="6"/>
  <c r="F20" i="6"/>
  <c r="K17" i="30"/>
  <c r="J20" i="2"/>
  <c r="K20" i="2" s="1"/>
  <c r="J27" i="2"/>
  <c r="J17" i="30"/>
  <c r="R213" i="4"/>
  <c r="R248" i="4" s="1"/>
  <c r="G17" i="6"/>
  <c r="H17" i="6" s="1"/>
  <c r="I7" i="6"/>
  <c r="D7" i="30"/>
  <c r="L22" i="2"/>
  <c r="M22" i="2" s="1"/>
  <c r="J213" i="4"/>
  <c r="J248" i="4" s="1"/>
  <c r="D17" i="30"/>
  <c r="K24" i="6"/>
  <c r="L24" i="6" s="1"/>
  <c r="J11" i="30"/>
  <c r="K13" i="6"/>
  <c r="L13" i="6" s="1"/>
  <c r="C19" i="30"/>
  <c r="E28" i="6"/>
  <c r="B24" i="30"/>
  <c r="E27" i="6"/>
  <c r="B23" i="30"/>
  <c r="H24" i="2"/>
  <c r="I24" i="2" s="1"/>
  <c r="H10" i="2"/>
  <c r="H15" i="2"/>
  <c r="I15" i="2" s="1"/>
  <c r="D24" i="30"/>
  <c r="I28" i="6"/>
  <c r="I18" i="30"/>
  <c r="L13" i="2"/>
  <c r="M13" i="2" s="1"/>
  <c r="K11" i="30"/>
  <c r="E12" i="30"/>
  <c r="K15" i="6"/>
  <c r="L15" i="6" s="1"/>
  <c r="F7" i="2"/>
  <c r="E10" i="6"/>
  <c r="B17" i="30"/>
  <c r="F17" i="2"/>
  <c r="G17" i="2" s="1"/>
  <c r="E274" i="4"/>
  <c r="F20" i="2"/>
  <c r="G20" i="2" s="1"/>
  <c r="D19" i="30"/>
  <c r="H13" i="2"/>
  <c r="I13" i="2" s="1"/>
  <c r="G10" i="6"/>
  <c r="E22" i="6"/>
  <c r="F22" i="6" s="1"/>
  <c r="F27" i="2"/>
  <c r="Q213" i="4"/>
  <c r="Q248" i="4" s="1"/>
  <c r="E15" i="6"/>
  <c r="F15" i="6" s="1"/>
  <c r="D18" i="30"/>
  <c r="L27" i="2"/>
  <c r="J15" i="2"/>
  <c r="K15" i="2" s="1"/>
  <c r="K213" i="4"/>
  <c r="K248" i="4" s="1"/>
  <c r="F22" i="2"/>
  <c r="G22" i="2" s="1"/>
  <c r="J13" i="30"/>
  <c r="H11" i="30"/>
  <c r="F15" i="2"/>
  <c r="G15" i="2" s="1"/>
  <c r="H12" i="30"/>
  <c r="K19" i="30"/>
  <c r="F24" i="2"/>
  <c r="G24" i="2" s="1"/>
  <c r="H20" i="2"/>
  <c r="I20" i="2" s="1"/>
  <c r="E13" i="30"/>
  <c r="G7" i="6"/>
  <c r="K17" i="6"/>
  <c r="L17" i="6" s="1"/>
  <c r="B13" i="30"/>
  <c r="G20" i="6"/>
  <c r="H20" i="6" s="1"/>
  <c r="B6" i="30"/>
  <c r="I27" i="6"/>
  <c r="B11" i="30"/>
  <c r="E24" i="6"/>
  <c r="F24" i="6" s="1"/>
  <c r="G22" i="6"/>
  <c r="H22" i="6" s="1"/>
  <c r="I17" i="6"/>
  <c r="J17" i="6" s="1"/>
  <c r="D13" i="30"/>
  <c r="I15" i="6"/>
  <c r="J15" i="6" s="1"/>
  <c r="D12" i="30"/>
  <c r="L7" i="2"/>
  <c r="K12" i="30"/>
  <c r="J10" i="2"/>
  <c r="H28" i="2"/>
  <c r="F10" i="2"/>
  <c r="H17" i="2"/>
  <c r="I17" i="2" s="1"/>
  <c r="G28" i="6"/>
  <c r="H7" i="2"/>
</calcChain>
</file>

<file path=xl/sharedStrings.xml><?xml version="1.0" encoding="utf-8"?>
<sst xmlns="http://schemas.openxmlformats.org/spreadsheetml/2006/main" count="3798" uniqueCount="233">
  <si>
    <t xml:space="preserve">Reporting hospital </t>
  </si>
  <si>
    <t xml:space="preserve">Average Wait (weeks) for new routine patients </t>
  </si>
  <si>
    <t>Local consultant</t>
  </si>
  <si>
    <t xml:space="preserve">Visiting specialist </t>
  </si>
  <si>
    <t>DNA Rate (%)</t>
  </si>
  <si>
    <t>Graph1</t>
  </si>
  <si>
    <t>Q1</t>
  </si>
  <si>
    <t>Q2</t>
  </si>
  <si>
    <t>Q3</t>
  </si>
  <si>
    <t>Q4</t>
  </si>
  <si>
    <t xml:space="preserve">Q1 </t>
  </si>
  <si>
    <t>Year to Date</t>
  </si>
  <si>
    <t>Graphs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</si>
  <si>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</si>
  <si>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</si>
  <si>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</si>
  <si>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</si>
  <si>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</si>
  <si>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</si>
  <si>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</si>
  <si>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</si>
  <si>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</si>
  <si>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</si>
  <si>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</si>
  <si>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</si>
  <si>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</si>
  <si>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</si>
  <si>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</si>
  <si>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</si>
  <si>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</si>
  <si>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</si>
  <si>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</si>
  <si>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</si>
  <si>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</si>
  <si>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</si>
  <si>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</si>
  <si>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</si>
  <si>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</si>
  <si>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</si>
  <si>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</si>
  <si>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</si>
  <si>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</si>
  <si>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</si>
  <si>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</si>
  <si>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5 -11 mnth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</si>
  <si>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</si>
  <si>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</si>
  <si>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</si>
  <si>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</si>
  <si>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</si>
  <si>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</si>
  <si>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</si>
  <si>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</si>
  <si>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</si>
  <si>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</si>
  <si>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</si>
  <si>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</si>
  <si>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>Bristol, Bristol Heart Institute</t>
  </si>
  <si>
    <t>Truro, Royal Cornwall Hospital</t>
  </si>
  <si>
    <t>Exeter, Royal Devon and Exeter Hospital</t>
  </si>
  <si>
    <t xml:space="preserve">Swindon, Great Weston Hospital </t>
  </si>
  <si>
    <t>Barnstaple, North Devon District Hospital</t>
  </si>
  <si>
    <t>Plymouth, Derriford Hospital</t>
  </si>
  <si>
    <t>Cardiff, University Hospital of Wales</t>
  </si>
  <si>
    <t xml:space="preserve">Llantrisant, Royal Glamorgan Hospital </t>
  </si>
  <si>
    <t>Merthyr Tydfil, Prince Charles Hospital</t>
  </si>
  <si>
    <t>Swansea, Singleton Hospital</t>
  </si>
  <si>
    <t xml:space="preserve">Adults </t>
  </si>
  <si>
    <t xml:space="preserve">Carmarthen, Glangwilli General Hospital </t>
  </si>
  <si>
    <t>Swindon, Great Weston Hospital</t>
  </si>
  <si>
    <t xml:space="preserve">Torquay, Torbay General District Hospital </t>
  </si>
  <si>
    <t>Cardiff, Noah’s Ark Children’s Hospital</t>
  </si>
  <si>
    <t>Bridgend, Princess of Wales Hospital</t>
  </si>
  <si>
    <t xml:space="preserve"> </t>
  </si>
  <si>
    <t>Gloucester, Gloucestershire Hospitals</t>
  </si>
  <si>
    <t xml:space="preserve">Taunton, Musgrove Park Hospital </t>
  </si>
  <si>
    <t xml:space="preserve">Torquay, Torbay District General Hospital </t>
  </si>
  <si>
    <t>Abergavenny, Nevill Hall Hospital</t>
  </si>
  <si>
    <t xml:space="preserve">Haverford West, Withybush Hospital </t>
  </si>
  <si>
    <t xml:space="preserve">Newport, Royal Gwent Hospital </t>
  </si>
  <si>
    <t xml:space="preserve">Swansea, Singleton Hospital </t>
  </si>
  <si>
    <t xml:space="preserve">Bristol, Bristol Royal Hospital for Children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</si>
  <si>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</si>
  <si>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</si>
  <si>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</si>
  <si>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Gloucester, Gloucestershire Hospitals </t>
  </si>
  <si>
    <t xml:space="preserve">Plymouth, Derriford Hospital </t>
  </si>
  <si>
    <t xml:space="preserve">Truro, Royal Cornwall Hospital </t>
  </si>
  <si>
    <t xml:space="preserve">Haverfordwest, Withybush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</si>
  <si>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</si>
  <si>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</si>
  <si>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</si>
  <si>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</si>
  <si>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</si>
  <si>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</si>
  <si>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</si>
  <si>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</si>
  <si>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</si>
  <si>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</si>
  <si>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</si>
  <si>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</si>
  <si>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</si>
  <si>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</si>
  <si>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</si>
  <si>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</si>
  <si>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</si>
  <si>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</si>
  <si>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</si>
  <si>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</si>
  <si>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</si>
  <si>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</si>
  <si>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</si>
  <si>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</si>
  <si>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</si>
  <si>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</si>
  <si>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</si>
  <si>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</si>
  <si>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</si>
  <si>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</si>
  <si>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</si>
  <si>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</si>
  <si>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</si>
  <si>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</si>
  <si>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</si>
  <si>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</si>
  <si>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</si>
  <si>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</si>
  <si>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</si>
  <si>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</si>
  <si>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</si>
  <si>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</si>
  <si>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</si>
  <si>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</si>
  <si>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Paedeatrics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</si>
  <si>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</si>
  <si>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</si>
  <si>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</si>
  <si>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 xml:space="preserve">Order each table by the total value - low to high </t>
  </si>
  <si>
    <t xml:space="preserve">Order each table by the % value - low to high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</si>
  <si>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</si>
  <si>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</si>
  <si>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</si>
  <si>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</si>
  <si>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</si>
  <si>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</si>
  <si>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</si>
  <si>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</si>
  <si>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</si>
  <si>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</si>
  <si>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</si>
  <si>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</si>
  <si>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</si>
  <si>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</si>
  <si>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</si>
  <si>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</si>
  <si>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</si>
  <si>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</si>
  <si>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</si>
  <si>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</si>
  <si>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</si>
  <si>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</si>
  <si>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</si>
  <si>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</si>
  <si>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</si>
  <si>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</si>
  <si>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</si>
  <si>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</si>
  <si>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</si>
  <si>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</si>
  <si>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</si>
  <si>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</si>
  <si>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</si>
  <si>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</si>
  <si>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</si>
  <si>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</si>
  <si>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</si>
  <si>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</si>
  <si>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</si>
  <si>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</si>
  <si>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</si>
  <si>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</si>
  <si>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</si>
  <si>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</si>
  <si>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</si>
  <si>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 xml:space="preserve">Outpatients Dashboard 2021/22 </t>
  </si>
  <si>
    <t>Q1 (Apr-Jun '21)</t>
  </si>
  <si>
    <t>Q2 (Jul-Sept '21)</t>
  </si>
  <si>
    <t>Q3 (Oct- Dec'21)</t>
  </si>
  <si>
    <t xml:space="preserve">Q4 (Jan-Mar'22) </t>
  </si>
  <si>
    <t>Quarter 1 (Apr - Jun) 2021/22</t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</si>
  <si>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2021)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</si>
  <si>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2021)</t>
    </r>
  </si>
  <si>
    <t xml:space="preserve">Q1 - Apr to Jun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</si>
  <si>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</si>
  <si>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</si>
  <si>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</si>
  <si>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</si>
  <si>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</si>
  <si>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</si>
  <si>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</si>
  <si>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</si>
  <si>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</si>
  <si>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</si>
  <si>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</si>
  <si>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</si>
  <si>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</si>
  <si>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</si>
  <si>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</si>
  <si>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</si>
  <si>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</si>
  <si>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AB UHB combined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</si>
  <si>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</si>
  <si>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</si>
  <si>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</si>
  <si>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</si>
  <si>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Quarter 2 (Jul - Sep) 2021/22</t>
  </si>
  <si>
    <t>Adults Outpatients Dashboard: Reporting period:  Q2 (Jul - Sep 2021)</t>
  </si>
  <si>
    <t>Paediatrics Outpatients Dashboard: Reporting period:  Q2 (Jul - Sep 2021)</t>
  </si>
  <si>
    <t>Adults Outpatients Dashboard: Reporting period:  Q3 (Oct - Dec 2021)</t>
  </si>
  <si>
    <t>Paediatrics Outpatients Dashboard: Reporting period:  Q3 (Oct - Dec 2021)</t>
  </si>
  <si>
    <t>Quarter 3 (Oct - Dec) 2021/22</t>
  </si>
  <si>
    <t>Adults Outpatients Dashboard: Reporting period:  Q4 (Jan - Mar 2021)</t>
  </si>
  <si>
    <t>Paediatrics Outpatients Dashboard: Reporting period:  Q4 (Jan - Mar 2021)</t>
  </si>
  <si>
    <t>Quarter 4 (Jan - Mar) 2021/22</t>
  </si>
  <si>
    <t xml:space="preserve">Q2 - Jul to Sep </t>
  </si>
  <si>
    <t>GRAPH DATA Q2</t>
  </si>
  <si>
    <t>Total 3+</t>
  </si>
  <si>
    <t>GRAPH DATA Q3</t>
  </si>
  <si>
    <t>GRAPH DATA Q4</t>
  </si>
  <si>
    <t xml:space="preserve">Order each table by the total value - (initially high to low to NA at top) then low to high </t>
  </si>
  <si>
    <t xml:space="preserve">Order each table by the % value - (initially high to low so NA at top)  low to high </t>
  </si>
  <si>
    <t xml:space="preserve">Q3 - Oct to Dec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</si>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</sst>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%\)"/>
    <numFmt numFmtId="165" formatCode="0.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5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6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7" borderId="0" xfId="0" applyFont="1" applyFill="1"/>
    <xf numFmtId="0" fontId="0" fillId="9" borderId="0" xfId="0" applyFill="1"/>
    <xf numFmtId="0" fontId="0" fillId="13" borderId="0" xfId="0" applyFill="1" applyAlignment="1">
      <alignment vertical="top"/>
    </xf>
    <xf numFmtId="0" fontId="0" fillId="13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21" fillId="0" borderId="0" xfId="1" applyNumberFormat="1" applyFont="1" applyFill="1" applyBorder="1" applyProtection="1">
      <protection hidden="1"/>
    </xf>
    <xf numFmtId="9" fontId="4" fillId="0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NumberFormat="1" applyFont="1" applyFill="1" applyProtection="1"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 indent="1"/>
    </xf>
    <xf numFmtId="0" fontId="6" fillId="14" borderId="1" xfId="0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4" borderId="1" xfId="2" applyFont="1" applyFill="1" applyBorder="1" applyAlignment="1">
      <alignment horizontal="left" vertical="center" wrapText="1" indent="1"/>
    </xf>
    <xf numFmtId="0" fontId="6" fillId="14" borderId="1" xfId="3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4" borderId="1" xfId="4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0" fillId="0" borderId="0" xfId="0"/>
    <xf numFmtId="0" fontId="2" fillId="0" borderId="0" xfId="0" applyFont="1"/>
    <xf numFmtId="0" fontId="2" fillId="1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0" fillId="13" borderId="0" xfId="0" applyFont="1" applyFill="1"/>
    <xf numFmtId="0" fontId="0" fillId="0" borderId="0" xfId="0" applyFill="1"/>
    <xf numFmtId="9" fontId="31" fillId="0" borderId="0" xfId="1" applyNumberFormat="1" applyFont="1" applyAlignment="1" applyProtection="1">
      <protection hidden="1"/>
    </xf>
    <xf numFmtId="0" fontId="29" fillId="8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1" fontId="0" fillId="3" borderId="0" xfId="0" applyNumberForma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 wrapText="1"/>
    </xf>
    <xf numFmtId="0" fontId="7" fillId="15" borderId="0" xfId="0" applyFont="1" applyFill="1" applyAlignment="1">
      <alignment horizontal="center" vertical="center"/>
    </xf>
    <xf numFmtId="0" fontId="7" fillId="15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6" fillId="13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4" borderId="1" xfId="2" applyFont="1" applyFill="1" applyBorder="1" applyAlignment="1">
      <alignment horizontal="center" vertical="center" wrapText="1"/>
    </xf>
    <xf numFmtId="0" fontId="6" fillId="14" borderId="1" xfId="3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4" borderId="1" xfId="4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0" fontId="29" fillId="8" borderId="53" xfId="0" applyFont="1" applyFill="1" applyBorder="1" applyAlignment="1">
      <alignment horizontal="center" vertical="center" wrapText="1"/>
    </xf>
    <xf numFmtId="0" fontId="2" fillId="16" borderId="0" xfId="0" applyFont="1" applyFill="1"/>
    <xf numFmtId="0" fontId="0" fillId="16" borderId="0" xfId="0" applyFill="1"/>
    <xf numFmtId="0" fontId="33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horizontal="center" vertical="center" wrapText="1"/>
    </xf>
    <xf numFmtId="0" fontId="2" fillId="13" borderId="0" xfId="0" applyFont="1" applyFill="1" applyAlignment="1">
      <alignment horizontal="left" vertical="center" wrapText="1"/>
    </xf>
    <xf numFmtId="0" fontId="0" fillId="5" borderId="0" xfId="0" applyFill="1"/>
    <xf numFmtId="0" fontId="20" fillId="0" borderId="0" xfId="0" applyFont="1" applyFill="1"/>
    <xf numFmtId="0" fontId="17" fillId="7" borderId="0" xfId="0" applyFont="1" applyFill="1" applyAlignment="1">
      <alignment vertical="center"/>
    </xf>
    <xf numFmtId="0" fontId="41" fillId="7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9" borderId="0" xfId="1" applyNumberFormat="1" applyFont="1" applyFill="1" applyAlignment="1" applyProtection="1">
      <alignment vertical="center"/>
      <protection hidden="1"/>
    </xf>
    <xf numFmtId="9" fontId="3" fillId="9" borderId="0" xfId="1" applyNumberFormat="1" applyFont="1" applyFill="1" applyAlignment="1" applyProtection="1">
      <alignment vertical="top"/>
      <protection hidden="1"/>
    </xf>
    <xf numFmtId="0" fontId="0" fillId="9" borderId="0" xfId="0" applyFont="1" applyFill="1"/>
    <xf numFmtId="9" fontId="10" fillId="9" borderId="0" xfId="1" applyNumberFormat="1" applyFont="1" applyFill="1" applyAlignment="1" applyProtection="1">
      <alignment vertical="center"/>
      <protection hidden="1"/>
    </xf>
    <xf numFmtId="0" fontId="0" fillId="5" borderId="0" xfId="0" applyFill="1" applyAlignment="1">
      <alignment vertical="top"/>
    </xf>
    <xf numFmtId="0" fontId="0" fillId="5" borderId="0" xfId="0" applyFont="1" applyFill="1"/>
    <xf numFmtId="0" fontId="2" fillId="13" borderId="0" xfId="0" applyFont="1" applyFill="1" applyAlignment="1">
      <alignment vertical="top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Alignment="1"/>
    <xf numFmtId="9" fontId="3" fillId="0" borderId="0" xfId="1" applyNumberFormat="1" applyFont="1" applyAlignme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21" fillId="0" borderId="0" xfId="1" applyNumberFormat="1" applyFont="1" applyAlignment="1" applyProtection="1">
      <protection hidden="1"/>
    </xf>
    <xf numFmtId="9" fontId="43" fillId="9" borderId="0" xfId="1" applyNumberFormat="1" applyFont="1" applyFill="1" applyAlignment="1" applyProtection="1">
      <alignment vertical="center"/>
      <protection hidden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6" fillId="17" borderId="0" xfId="0" applyFont="1" applyFill="1"/>
    <xf numFmtId="0" fontId="41" fillId="17" borderId="0" xfId="0" applyFont="1" applyFill="1"/>
    <xf numFmtId="0" fontId="8" fillId="17" borderId="0" xfId="0" applyFont="1" applyFill="1"/>
    <xf numFmtId="0" fontId="47" fillId="17" borderId="0" xfId="0" applyFont="1" applyFill="1"/>
    <xf numFmtId="0" fontId="8" fillId="0" borderId="0" xfId="0" applyFont="1" applyFill="1"/>
    <xf numFmtId="0" fontId="48" fillId="0" borderId="0" xfId="0" applyFont="1" applyFill="1"/>
    <xf numFmtId="9" fontId="0" fillId="0" borderId="0" xfId="0" applyNumberFormat="1" applyFill="1"/>
    <xf numFmtId="0" fontId="48" fillId="0" borderId="0" xfId="0" applyFont="1" applyAlignment="1">
      <alignment vertical="center"/>
    </xf>
    <xf numFmtId="9" fontId="35" fillId="11" borderId="14" xfId="3" applyNumberFormat="1" applyFont="1" applyBorder="1" applyAlignment="1" applyProtection="1">
      <alignment horizontal="center" vertical="center"/>
      <protection hidden="1"/>
    </xf>
    <xf numFmtId="9" fontId="16" fillId="12" borderId="15" xfId="4" applyNumberFormat="1" applyBorder="1" applyAlignment="1" applyProtection="1">
      <alignment horizontal="center" vertical="center"/>
      <protection locked="0" hidden="1"/>
    </xf>
    <xf numFmtId="9" fontId="36" fillId="10" borderId="16" xfId="2" applyNumberFormat="1" applyFont="1" applyBorder="1" applyAlignment="1" applyProtection="1">
      <alignment horizontal="center" vertical="center"/>
      <protection locked="0" hidden="1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0" fontId="0" fillId="15" borderId="0" xfId="0" applyFill="1" applyAlignment="1">
      <alignment horizontal="left" vertical="top" wrapText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3" borderId="16" xfId="2" applyNumberFormat="1" applyFill="1" applyBorder="1" applyAlignment="1" applyProtection="1">
      <alignment horizontal="center" vertical="center"/>
      <protection locked="0" hidden="1"/>
    </xf>
    <xf numFmtId="9" fontId="32" fillId="9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Fill="1" applyBorder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horizontal="right" vertical="center"/>
      <protection hidden="1"/>
    </xf>
    <xf numFmtId="0" fontId="50" fillId="7" borderId="63" xfId="5" applyFont="1" applyFill="1" applyBorder="1" applyAlignment="1">
      <alignment horizontal="center" vertical="center"/>
    </xf>
    <xf numFmtId="9" fontId="51" fillId="0" borderId="0" xfId="1" applyNumberFormat="1" applyFont="1" applyAlignment="1" applyProtection="1">
      <protection hidden="1"/>
    </xf>
    <xf numFmtId="9" fontId="15" fillId="13" borderId="61" xfId="3" applyNumberFormat="1" applyFill="1" applyBorder="1" applyAlignment="1" applyProtection="1">
      <alignment horizontal="center" vertical="center"/>
      <protection hidden="1"/>
    </xf>
    <xf numFmtId="9" fontId="15" fillId="13" borderId="62" xfId="3" applyNumberFormat="1" applyFill="1" applyBorder="1" applyAlignment="1" applyProtection="1">
      <alignment horizontal="center" vertical="center"/>
      <protection hidden="1"/>
    </xf>
    <xf numFmtId="0" fontId="53" fillId="7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6" borderId="64" xfId="0" applyFill="1" applyBorder="1" applyAlignment="1">
      <alignment horizontal="center" vertical="center" wrapText="1"/>
    </xf>
    <xf numFmtId="0" fontId="0" fillId="16" borderId="65" xfId="0" applyFill="1" applyBorder="1" applyAlignment="1">
      <alignment vertical="center" wrapText="1"/>
    </xf>
    <xf numFmtId="0" fontId="0" fillId="16" borderId="65" xfId="0" applyFill="1" applyBorder="1"/>
    <xf numFmtId="0" fontId="2" fillId="16" borderId="66" xfId="0" applyFont="1" applyFill="1" applyBorder="1"/>
    <xf numFmtId="1" fontId="2" fillId="16" borderId="68" xfId="0" applyNumberFormat="1" applyFont="1" applyFill="1" applyBorder="1" applyAlignment="1">
      <alignment horizontal="center" vertical="center" wrapText="1"/>
    </xf>
    <xf numFmtId="1" fontId="2" fillId="16" borderId="8" xfId="0" applyNumberFormat="1" applyFont="1" applyFill="1" applyBorder="1" applyAlignment="1">
      <alignment horizontal="center" vertical="center" wrapText="1"/>
    </xf>
    <xf numFmtId="0" fontId="0" fillId="16" borderId="64" xfId="0" applyFill="1" applyBorder="1"/>
    <xf numFmtId="0" fontId="0" fillId="16" borderId="67" xfId="0" applyFill="1" applyBorder="1"/>
    <xf numFmtId="0" fontId="0" fillId="16" borderId="7" xfId="0" applyFill="1" applyBorder="1"/>
    <xf numFmtId="1" fontId="0" fillId="16" borderId="0" xfId="0" applyNumberFormat="1" applyFill="1" applyBorder="1"/>
    <xf numFmtId="1" fontId="0" fillId="16" borderId="62" xfId="0" applyNumberFormat="1" applyFill="1" applyBorder="1"/>
    <xf numFmtId="0" fontId="0" fillId="16" borderId="65" xfId="0" applyFill="1" applyBorder="1" applyAlignment="1">
      <alignment horizontal="center" wrapText="1"/>
    </xf>
    <xf numFmtId="0" fontId="2" fillId="16" borderId="66" xfId="0" applyFont="1" applyFill="1" applyBorder="1" applyAlignment="1">
      <alignment horizontal="center"/>
    </xf>
    <xf numFmtId="0" fontId="0" fillId="16" borderId="0" xfId="0" applyFill="1" applyBorder="1"/>
    <xf numFmtId="0" fontId="0" fillId="16" borderId="0" xfId="0" applyFill="1" applyBorder="1" applyAlignment="1">
      <alignment horizontal="center"/>
    </xf>
    <xf numFmtId="0" fontId="2" fillId="16" borderId="68" xfId="0" applyFont="1" applyFill="1" applyBorder="1" applyAlignment="1">
      <alignment horizontal="center"/>
    </xf>
    <xf numFmtId="0" fontId="0" fillId="16" borderId="62" xfId="0" applyFill="1" applyBorder="1"/>
    <xf numFmtId="0" fontId="0" fillId="16" borderId="62" xfId="0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0" fillId="16" borderId="65" xfId="0" applyFill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/>
    <xf numFmtId="9" fontId="0" fillId="16" borderId="68" xfId="0" applyNumberFormat="1" applyFill="1" applyBorder="1"/>
    <xf numFmtId="9" fontId="0" fillId="16" borderId="8" xfId="0" applyNumberFormat="1" applyFill="1" applyBorder="1"/>
    <xf numFmtId="9" fontId="0" fillId="0" borderId="0" xfId="0" applyNumberFormat="1" applyFill="1" applyBorder="1"/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0" fontId="5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9" borderId="0" xfId="0" applyFill="1" applyProtection="1"/>
    <xf numFmtId="0" fontId="12" fillId="9" borderId="0" xfId="0" applyFont="1" applyFill="1" applyProtection="1"/>
    <xf numFmtId="0" fontId="0" fillId="9" borderId="0" xfId="0" applyFill="1" applyAlignment="1" applyProtection="1">
      <alignment horizontal="center" vertical="center"/>
    </xf>
    <xf numFmtId="0" fontId="0" fillId="13" borderId="0" xfId="0" applyFill="1" applyProtection="1"/>
    <xf numFmtId="0" fontId="12" fillId="13" borderId="0" xfId="0" applyFont="1" applyFill="1" applyProtection="1"/>
    <xf numFmtId="0" fontId="0" fillId="13" borderId="0" xfId="0" applyFill="1" applyAlignment="1" applyProtection="1">
      <alignment horizontal="center" vertical="center"/>
    </xf>
    <xf numFmtId="0" fontId="0" fillId="13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4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/>
    <xf numFmtId="0" fontId="2" fillId="5" borderId="0" xfId="0" applyFont="1" applyFill="1" applyAlignment="1" applyProtection="1">
      <alignment vertical="top"/>
    </xf>
    <xf numFmtId="0" fontId="0" fillId="0" borderId="0" xfId="0" applyProtection="1"/>
    <xf numFmtId="0" fontId="42" fillId="5" borderId="0" xfId="0" applyFont="1" applyFill="1" applyProtection="1"/>
    <xf numFmtId="0" fontId="0" fillId="5" borderId="0" xfId="0" applyFill="1" applyBorder="1" applyAlignment="1" applyProtection="1">
      <alignment horizontal="center"/>
    </xf>
    <xf numFmtId="0" fontId="44" fillId="5" borderId="0" xfId="0" applyFont="1" applyFill="1" applyBorder="1" applyAlignment="1" applyProtection="1">
      <alignment vertical="center"/>
    </xf>
    <xf numFmtId="0" fontId="56" fillId="0" borderId="0" xfId="0" applyFont="1" applyAlignment="1" applyProtection="1">
      <alignment horizontal="center" vertical="center"/>
    </xf>
    <xf numFmtId="0" fontId="56" fillId="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top"/>
    </xf>
    <xf numFmtId="0" fontId="44" fillId="0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center" vertical="center"/>
    </xf>
    <xf numFmtId="0" fontId="2" fillId="13" borderId="0" xfId="0" applyFont="1" applyFill="1" applyProtection="1"/>
    <xf numFmtId="0" fontId="58" fillId="17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0" fontId="49" fillId="18" borderId="58" xfId="0" applyFont="1" applyFill="1" applyBorder="1" applyAlignment="1" applyProtection="1">
      <alignment horizontal="center" vertical="center"/>
    </xf>
    <xf numFmtId="0" fontId="57" fillId="18" borderId="13" xfId="5" applyFont="1" applyFill="1" applyBorder="1" applyAlignment="1" applyProtection="1">
      <alignment horizontal="center" vertical="center"/>
    </xf>
    <xf numFmtId="0" fontId="57" fillId="18" borderId="13" xfId="5" applyFont="1" applyFill="1" applyBorder="1" applyAlignment="1" applyProtection="1">
      <alignment horizontal="center" vertical="center"/>
      <protection locked="0"/>
    </xf>
    <xf numFmtId="0" fontId="49" fillId="18" borderId="1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Border="1"/>
    <xf numFmtId="0" fontId="8" fillId="17" borderId="0" xfId="0" applyFont="1" applyFill="1" applyBorder="1"/>
    <xf numFmtId="0" fontId="8" fillId="0" borderId="0" xfId="0" applyFont="1" applyFill="1" applyBorder="1"/>
    <xf numFmtId="0" fontId="2" fillId="0" borderId="0" xfId="0" applyFont="1" applyBorder="1"/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4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4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4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4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4" borderId="39" xfId="6" applyFont="1" applyFill="1" applyBorder="1" applyAlignment="1">
      <alignment horizontal="right" vertical="center" shrinkToFit="1"/>
    </xf>
    <xf numFmtId="0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4" borderId="39" xfId="6" applyNumberFormat="1" applyFont="1" applyFill="1" applyBorder="1" applyAlignment="1">
      <alignment horizontal="right" vertical="center" shrinkToFit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4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4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16" borderId="0" xfId="0" applyFill="1" applyAlignment="1">
      <alignment horizontal="center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Alignment="1">
      <alignment horizontal="center" vertical="center" wrapText="1"/>
    </xf>
    <xf numFmtId="9" fontId="0" fillId="16" borderId="0" xfId="0" applyNumberFormat="1" applyFill="1" applyAlignment="1">
      <alignment horizontal="center"/>
    </xf>
    <xf numFmtId="1" fontId="0" fillId="16" borderId="0" xfId="0" applyNumberFormat="1" applyFill="1" applyAlignment="1">
      <alignment horizontal="center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0" fontId="62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0" fontId="0" fillId="0" borderId="0" xfId="0" applyAlignment="1">
      <alignment vertical="top" wrapText="1"/>
    </xf>
    <xf numFmtId="1" fontId="0" fillId="2" borderId="0" xfId="0" applyNumberFormat="1" applyFill="1" applyAlignment="1">
      <alignment vertical="center" wrapText="1"/>
    </xf>
    <xf numFmtId="0" fontId="65" fillId="0" borderId="0" xfId="0" applyFont="1" applyFill="1" applyAlignment="1">
      <alignment vertical="center"/>
    </xf>
    <xf numFmtId="0" fontId="6" fillId="16" borderId="65" xfId="0" applyFont="1" applyFill="1" applyBorder="1"/>
    <xf numFmtId="0" fontId="6" fillId="16" borderId="64" xfId="0" applyFont="1" applyFill="1" applyBorder="1" applyAlignment="1">
      <alignment vertical="center"/>
    </xf>
    <xf numFmtId="0" fontId="6" fillId="0" borderId="0" xfId="0" applyFont="1"/>
    <xf numFmtId="0" fontId="6" fillId="16" borderId="0" xfId="0" applyFont="1" applyFill="1" applyAlignment="1">
      <alignment vertical="center"/>
    </xf>
    <xf numFmtId="0" fontId="65" fillId="16" borderId="67" xfId="0" applyFont="1" applyFill="1" applyBorder="1" applyAlignment="1">
      <alignment vertical="center"/>
    </xf>
    <xf numFmtId="0" fontId="6" fillId="19" borderId="64" xfId="0" applyFont="1" applyFill="1" applyBorder="1" applyAlignment="1"/>
    <xf numFmtId="0" fontId="6" fillId="19" borderId="66" xfId="0" applyFont="1" applyFill="1" applyBorder="1" applyAlignment="1"/>
    <xf numFmtId="0" fontId="65" fillId="16" borderId="0" xfId="0" applyFont="1" applyFill="1" applyAlignment="1">
      <alignment vertical="center"/>
    </xf>
    <xf numFmtId="0" fontId="6" fillId="16" borderId="64" xfId="0" applyFont="1" applyFill="1" applyBorder="1" applyAlignment="1"/>
    <xf numFmtId="0" fontId="6" fillId="16" borderId="66" xfId="0" applyFont="1" applyFill="1" applyBorder="1" applyAlignment="1"/>
    <xf numFmtId="9" fontId="6" fillId="16" borderId="64" xfId="0" applyNumberFormat="1" applyFont="1" applyFill="1" applyBorder="1"/>
    <xf numFmtId="9" fontId="6" fillId="16" borderId="66" xfId="0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 applyAlignment="1"/>
    <xf numFmtId="0" fontId="6" fillId="16" borderId="67" xfId="0" applyFont="1" applyFill="1" applyBorder="1" applyAlignment="1">
      <alignment vertical="center"/>
    </xf>
    <xf numFmtId="9" fontId="6" fillId="19" borderId="67" xfId="0" applyNumberFormat="1" applyFont="1" applyFill="1" applyBorder="1"/>
    <xf numFmtId="9" fontId="6" fillId="19" borderId="68" xfId="0" applyNumberFormat="1" applyFont="1" applyFill="1" applyBorder="1"/>
    <xf numFmtId="9" fontId="6" fillId="16" borderId="67" xfId="0" applyNumberFormat="1" applyFont="1" applyFill="1" applyBorder="1"/>
    <xf numFmtId="9" fontId="6" fillId="16" borderId="68" xfId="0" applyNumberFormat="1" applyFont="1" applyFill="1" applyBorder="1"/>
    <xf numFmtId="10" fontId="6" fillId="16" borderId="67" xfId="0" applyNumberFormat="1" applyFont="1" applyFill="1" applyBorder="1"/>
    <xf numFmtId="10" fontId="6" fillId="16" borderId="0" xfId="0" applyNumberFormat="1" applyFont="1" applyFill="1" applyBorder="1"/>
    <xf numFmtId="0" fontId="6" fillId="16" borderId="7" xfId="0" applyFont="1" applyFill="1" applyBorder="1" applyAlignment="1">
      <alignment vertical="center"/>
    </xf>
    <xf numFmtId="9" fontId="6" fillId="19" borderId="7" xfId="0" applyNumberFormat="1" applyFont="1" applyFill="1" applyBorder="1"/>
    <xf numFmtId="9" fontId="6" fillId="19" borderId="8" xfId="0" applyNumberFormat="1" applyFont="1" applyFill="1" applyBorder="1"/>
    <xf numFmtId="9" fontId="6" fillId="16" borderId="7" xfId="0" applyNumberFormat="1" applyFont="1" applyFill="1" applyBorder="1"/>
    <xf numFmtId="9" fontId="6" fillId="16" borderId="8" xfId="0" applyNumberFormat="1" applyFont="1" applyFill="1" applyBorder="1"/>
    <xf numFmtId="10" fontId="6" fillId="16" borderId="7" xfId="0" applyNumberFormat="1" applyFont="1" applyFill="1" applyBorder="1"/>
    <xf numFmtId="10" fontId="6" fillId="16" borderId="62" xfId="0" applyNumberFormat="1" applyFont="1" applyFill="1" applyBorder="1"/>
    <xf numFmtId="0" fontId="6" fillId="16" borderId="0" xfId="0" applyFont="1" applyFill="1"/>
    <xf numFmtId="0" fontId="6" fillId="16" borderId="67" xfId="0" applyFont="1" applyFill="1" applyBorder="1"/>
    <xf numFmtId="0" fontId="6" fillId="19" borderId="64" xfId="0" applyFont="1" applyFill="1" applyBorder="1"/>
    <xf numFmtId="0" fontId="6" fillId="19" borderId="66" xfId="0" applyFont="1" applyFill="1" applyBorder="1"/>
    <xf numFmtId="0" fontId="9" fillId="7" borderId="58" xfId="0" applyFont="1" applyFill="1" applyBorder="1"/>
    <xf numFmtId="0" fontId="0" fillId="0" borderId="0" xfId="0" applyAlignment="1">
      <alignment horizontal="center" vertical="center" wrapText="1"/>
    </xf>
    <xf numFmtId="0" fontId="65" fillId="16" borderId="0" xfId="0" applyFont="1" applyFill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6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4" fillId="7" borderId="58" xfId="0" applyFont="1" applyFill="1" applyBorder="1" applyAlignment="1" applyProtection="1">
      <alignment horizontal="center" vertical="center"/>
    </xf>
    <xf numFmtId="0" fontId="57" fillId="7" borderId="13" xfId="5" applyFont="1" applyFill="1" applyBorder="1" applyAlignment="1" applyProtection="1">
      <alignment horizontal="center" vertical="center"/>
      <protection locked="0"/>
    </xf>
    <xf numFmtId="1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1" fontId="0" fillId="16" borderId="0" xfId="0" applyNumberFormat="1" applyFill="1" applyBorder="1" applyAlignment="1">
      <alignment horizontal="center"/>
    </xf>
    <xf numFmtId="1" fontId="2" fillId="16" borderId="68" xfId="0" applyNumberFormat="1" applyFont="1" applyFill="1" applyBorder="1" applyAlignment="1">
      <alignment horizontal="center"/>
    </xf>
    <xf numFmtId="1" fontId="0" fillId="16" borderId="62" xfId="0" applyNumberFormat="1" applyFill="1" applyBorder="1" applyAlignment="1">
      <alignment horizontal="center"/>
    </xf>
    <xf numFmtId="1" fontId="2" fillId="16" borderId="8" xfId="0" applyNumberFormat="1" applyFont="1" applyFill="1" applyBorder="1" applyAlignment="1">
      <alignment horizontal="center"/>
    </xf>
    <xf numFmtId="0" fontId="45" fillId="13" borderId="0" xfId="0" applyFont="1" applyFill="1" applyAlignment="1" applyProtection="1">
      <alignment horizontal="center" vertical="center"/>
    </xf>
    <xf numFmtId="0" fontId="30" fillId="13" borderId="0" xfId="0" applyFont="1" applyFill="1" applyAlignment="1" applyProtection="1">
      <alignment horizontal="center" vertical="center"/>
    </xf>
    <xf numFmtId="0" fontId="12" fillId="7" borderId="0" xfId="0" applyFont="1" applyFill="1" applyAlignment="1" applyProtection="1">
      <alignment horizontal="center" vertical="center" wrapText="1"/>
    </xf>
    <xf numFmtId="0" fontId="12" fillId="7" borderId="0" xfId="0" applyFont="1" applyFill="1" applyAlignment="1" applyProtection="1">
      <alignment horizontal="center" vertical="center"/>
    </xf>
    <xf numFmtId="0" fontId="53" fillId="7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9" fontId="9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1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25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3" borderId="21" xfId="5" applyFont="1" applyFill="1" applyBorder="1" applyAlignment="1">
      <alignment horizontal="center" vertical="center" wrapText="1"/>
    </xf>
    <xf numFmtId="0" fontId="39" fillId="13" borderId="22" xfId="5" applyFont="1" applyFill="1" applyBorder="1" applyAlignment="1">
      <alignment horizontal="center" vertical="center" wrapText="1"/>
    </xf>
    <xf numFmtId="0" fontId="39" fillId="13" borderId="23" xfId="5" applyFont="1" applyFill="1" applyBorder="1" applyAlignment="1">
      <alignment horizontal="center" vertical="center" wrapText="1"/>
    </xf>
    <xf numFmtId="0" fontId="39" fillId="13" borderId="24" xfId="5" applyFont="1" applyFill="1" applyBorder="1" applyAlignment="1">
      <alignment horizontal="center" vertical="center" wrapText="1"/>
    </xf>
    <xf numFmtId="0" fontId="39" fillId="13" borderId="0" xfId="5" applyFont="1" applyFill="1" applyBorder="1" applyAlignment="1">
      <alignment horizontal="center" vertical="center" wrapText="1"/>
    </xf>
    <xf numFmtId="0" fontId="39" fillId="13" borderId="25" xfId="5" applyFont="1" applyFill="1" applyBorder="1" applyAlignment="1">
      <alignment horizontal="center" vertical="center" wrapText="1"/>
    </xf>
    <xf numFmtId="0" fontId="39" fillId="13" borderId="26" xfId="5" applyFont="1" applyFill="1" applyBorder="1" applyAlignment="1">
      <alignment horizontal="center" vertical="center" wrapText="1"/>
    </xf>
    <xf numFmtId="0" fontId="39" fillId="13" borderId="27" xfId="5" applyFont="1" applyFill="1" applyBorder="1" applyAlignment="1">
      <alignment horizontal="center" vertical="center" wrapText="1"/>
    </xf>
    <xf numFmtId="0" fontId="39" fillId="13" borderId="28" xfId="5" applyFont="1" applyFill="1" applyBorder="1" applyAlignment="1">
      <alignment horizontal="center" vertical="center" wrapText="1"/>
    </xf>
    <xf numFmtId="9" fontId="35" fillId="11" borderId="14" xfId="3" applyNumberFormat="1" applyFont="1" applyBorder="1" applyAlignment="1" applyProtection="1">
      <alignment horizontal="center" vertical="center"/>
      <protection hidden="1"/>
    </xf>
    <xf numFmtId="9" fontId="35" fillId="11" borderId="48" xfId="3" applyNumberFormat="1" applyFont="1" applyBorder="1" applyAlignment="1" applyProtection="1">
      <alignment horizontal="center" vertical="center"/>
      <protection hidden="1"/>
    </xf>
    <xf numFmtId="9" fontId="15" fillId="13" borderId="56" xfId="3" applyNumberFormat="1" applyFill="1" applyBorder="1" applyAlignment="1" applyProtection="1">
      <alignment horizontal="center" vertical="center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36" fillId="10" borderId="56" xfId="2" applyNumberFormat="1" applyFont="1" applyBorder="1" applyAlignment="1" applyProtection="1">
      <alignment horizontal="center" vertical="center"/>
      <protection hidden="1"/>
    </xf>
    <xf numFmtId="9" fontId="14" fillId="10" borderId="57" xfId="2" applyNumberFormat="1" applyBorder="1" applyAlignment="1" applyProtection="1">
      <alignment horizontal="center" vertical="center"/>
      <protection hidden="1"/>
    </xf>
    <xf numFmtId="9" fontId="14" fillId="10" borderId="7" xfId="2" applyNumberFormat="1" applyBorder="1" applyAlignment="1" applyProtection="1">
      <alignment horizontal="center" vertical="center"/>
      <protection hidden="1"/>
    </xf>
    <xf numFmtId="9" fontId="14" fillId="10" borderId="8" xfId="2" applyNumberFormat="1" applyBorder="1" applyAlignment="1" applyProtection="1">
      <alignment horizontal="center" vertical="center"/>
      <protection hidden="1"/>
    </xf>
    <xf numFmtId="9" fontId="37" fillId="12" borderId="56" xfId="4" applyNumberFormat="1" applyFont="1" applyBorder="1" applyAlignment="1" applyProtection="1">
      <alignment horizontal="center" vertical="center"/>
      <protection hidden="1"/>
    </xf>
    <xf numFmtId="9" fontId="16" fillId="12" borderId="57" xfId="4" applyNumberFormat="1" applyBorder="1" applyAlignment="1" applyProtection="1">
      <alignment horizontal="center" vertical="center"/>
      <protection hidden="1"/>
    </xf>
    <xf numFmtId="9" fontId="16" fillId="12" borderId="7" xfId="4" applyNumberFormat="1" applyBorder="1" applyAlignment="1" applyProtection="1">
      <alignment horizontal="center" vertical="center"/>
      <protection hidden="1"/>
    </xf>
    <xf numFmtId="9" fontId="16" fillId="12" borderId="8" xfId="4" applyNumberFormat="1" applyBorder="1" applyAlignment="1" applyProtection="1">
      <alignment horizontal="center" vertical="center"/>
      <protection hidden="1"/>
    </xf>
    <xf numFmtId="9" fontId="35" fillId="11" borderId="56" xfId="3" applyNumberFormat="1" applyFont="1" applyBorder="1" applyAlignment="1" applyProtection="1">
      <alignment horizontal="center" vertical="center"/>
      <protection hidden="1"/>
    </xf>
    <xf numFmtId="9" fontId="15" fillId="11" borderId="57" xfId="3" applyNumberFormat="1" applyBorder="1" applyAlignment="1" applyProtection="1">
      <alignment horizontal="center" vertical="center"/>
      <protection hidden="1"/>
    </xf>
    <xf numFmtId="9" fontId="15" fillId="11" borderId="7" xfId="3" applyNumberFormat="1" applyBorder="1" applyAlignment="1" applyProtection="1">
      <alignment horizontal="center" vertical="center"/>
      <protection hidden="1"/>
    </xf>
    <xf numFmtId="9" fontId="15" fillId="11" borderId="8" xfId="3" applyNumberFormat="1" applyBorder="1" applyAlignment="1" applyProtection="1">
      <alignment horizontal="center" vertical="center"/>
      <protection hidden="1"/>
    </xf>
    <xf numFmtId="9" fontId="9" fillId="7" borderId="1" xfId="0" applyNumberFormat="1" applyFont="1" applyFill="1" applyBorder="1" applyAlignment="1" applyProtection="1">
      <alignment horizontal="center" vertical="center"/>
      <protection hidden="1"/>
    </xf>
    <xf numFmtId="9" fontId="9" fillId="7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10" borderId="16" xfId="2" applyNumberFormat="1" applyFont="1" applyBorder="1" applyAlignment="1" applyProtection="1">
      <alignment horizontal="center" vertical="center"/>
      <protection locked="0" hidden="1"/>
    </xf>
    <xf numFmtId="9" fontId="36" fillId="10" borderId="52" xfId="2" applyNumberFormat="1" applyFont="1" applyBorder="1" applyAlignment="1" applyProtection="1">
      <alignment horizontal="center" vertical="center"/>
      <protection locked="0" hidden="1"/>
    </xf>
    <xf numFmtId="9" fontId="14" fillId="13" borderId="51" xfId="2" applyNumberFormat="1" applyFill="1" applyBorder="1" applyAlignment="1" applyProtection="1">
      <alignment horizontal="center" vertical="center"/>
      <protection locked="0" hidden="1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35" fillId="11" borderId="47" xfId="3" applyNumberFormat="1" applyFont="1" applyBorder="1" applyAlignment="1" applyProtection="1">
      <alignment horizontal="center" vertical="center"/>
      <protection hidden="1"/>
    </xf>
    <xf numFmtId="9" fontId="16" fillId="12" borderId="15" xfId="4" applyNumberFormat="1" applyBorder="1" applyAlignment="1" applyProtection="1">
      <alignment horizontal="center" vertical="center"/>
      <protection locked="0" hidden="1"/>
    </xf>
    <xf numFmtId="9" fontId="16" fillId="12" borderId="50" xfId="4" applyNumberFormat="1" applyBorder="1" applyAlignment="1" applyProtection="1">
      <alignment horizontal="center" vertical="center"/>
      <protection locked="0" hidden="1"/>
    </xf>
    <xf numFmtId="9" fontId="16" fillId="12" borderId="49" xfId="4" applyNumberFormat="1" applyBorder="1" applyAlignment="1" applyProtection="1">
      <alignment horizontal="center" vertical="center"/>
      <protection locked="0" hidden="1"/>
    </xf>
    <xf numFmtId="9" fontId="0" fillId="13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10" borderId="51" xfId="2" applyNumberFormat="1" applyFont="1" applyBorder="1" applyAlignment="1" applyProtection="1">
      <alignment horizontal="center" vertical="center"/>
      <protection locked="0" hidden="1"/>
    </xf>
    <xf numFmtId="9" fontId="32" fillId="9" borderId="0" xfId="1" applyNumberFormat="1" applyFont="1" applyFill="1" applyAlignment="1" applyProtection="1">
      <alignment horizontal="left" vertical="center" indent="3"/>
      <protection hidden="1"/>
    </xf>
    <xf numFmtId="0" fontId="55" fillId="7" borderId="0" xfId="5" applyFont="1" applyFill="1" applyAlignment="1">
      <alignment horizontal="center" vertical="center"/>
    </xf>
    <xf numFmtId="9" fontId="40" fillId="0" borderId="0" xfId="1" applyNumberFormat="1" applyFont="1" applyFill="1" applyAlignment="1" applyProtection="1">
      <alignment horizontal="center" vertical="center"/>
      <protection hidden="1"/>
    </xf>
    <xf numFmtId="0" fontId="6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" fontId="60" fillId="13" borderId="29" xfId="0" applyNumberFormat="1" applyFont="1" applyFill="1" applyBorder="1" applyAlignment="1">
      <alignment horizontal="right" vertical="center" wrapText="1"/>
    </xf>
    <xf numFmtId="1" fontId="60" fillId="13" borderId="32" xfId="0" applyNumberFormat="1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1" fontId="60" fillId="13" borderId="12" xfId="0" applyNumberFormat="1" applyFont="1" applyFill="1" applyBorder="1" applyAlignment="1">
      <alignment horizontal="center" vertical="center" wrapText="1"/>
    </xf>
    <xf numFmtId="0" fontId="60" fillId="13" borderId="9" xfId="0" applyFont="1" applyFill="1" applyBorder="1" applyAlignment="1">
      <alignment horizontal="center" vertical="center" wrapText="1"/>
    </xf>
    <xf numFmtId="0" fontId="60" fillId="13" borderId="10" xfId="0" applyFont="1" applyFill="1" applyBorder="1" applyAlignment="1">
      <alignment horizontal="center" vertical="center" wrapText="1"/>
    </xf>
    <xf numFmtId="0" fontId="60" fillId="13" borderId="20" xfId="0" applyFont="1" applyFill="1" applyBorder="1" applyAlignment="1">
      <alignment horizontal="center" vertical="center" wrapText="1"/>
    </xf>
    <xf numFmtId="0" fontId="60" fillId="13" borderId="11" xfId="0" applyFont="1" applyFill="1" applyBorder="1" applyAlignment="1">
      <alignment horizontal="center" vertical="center" wrapText="1"/>
    </xf>
    <xf numFmtId="0" fontId="60" fillId="13" borderId="18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 wrapText="1"/>
    </xf>
    <xf numFmtId="0" fontId="0" fillId="8" borderId="17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8" borderId="19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1" fontId="69" fillId="13" borderId="12" xfId="0" applyNumberFormat="1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0" fontId="69" fillId="13" borderId="20" xfId="0" applyFont="1" applyFill="1" applyBorder="1" applyAlignment="1">
      <alignment horizontal="center" vertical="center" wrapText="1"/>
    </xf>
    <xf numFmtId="0" fontId="69" fillId="13" borderId="11" xfId="0" applyFont="1" applyFill="1" applyBorder="1" applyAlignment="1">
      <alignment horizontal="center" vertical="center" wrapText="1"/>
    </xf>
    <xf numFmtId="0" fontId="69" fillId="13" borderId="18" xfId="0" applyFont="1" applyFill="1" applyBorder="1" applyAlignment="1">
      <alignment horizontal="center" vertical="center" wrapText="1"/>
    </xf>
    <xf numFmtId="1" fontId="67" fillId="13" borderId="12" xfId="0" applyNumberFormat="1" applyFont="1" applyFill="1" applyBorder="1" applyAlignment="1">
      <alignment horizontal="center" vertical="center" wrapText="1"/>
    </xf>
    <xf numFmtId="0" fontId="67" fillId="13" borderId="9" xfId="0" applyFont="1" applyFill="1" applyBorder="1" applyAlignment="1">
      <alignment horizontal="center" vertical="center" wrapText="1"/>
    </xf>
    <xf numFmtId="0" fontId="67" fillId="13" borderId="10" xfId="0" applyFont="1" applyFill="1" applyBorder="1" applyAlignment="1">
      <alignment horizontal="center" vertical="center" wrapText="1"/>
    </xf>
    <xf numFmtId="0" fontId="67" fillId="13" borderId="20" xfId="0" applyFont="1" applyFill="1" applyBorder="1" applyAlignment="1">
      <alignment horizontal="center" vertical="center" wrapText="1"/>
    </xf>
    <xf numFmtId="0" fontId="67" fillId="13" borderId="11" xfId="0" applyFont="1" applyFill="1" applyBorder="1" applyAlignment="1">
      <alignment horizontal="center" vertical="center" wrapText="1"/>
    </xf>
    <xf numFmtId="0" fontId="67" fillId="13" borderId="18" xfId="0" applyFont="1" applyFill="1" applyBorder="1" applyAlignment="1">
      <alignment horizontal="center" vertical="center" wrapText="1"/>
    </xf>
    <xf numFmtId="1" fontId="69" fillId="13" borderId="9" xfId="0" applyNumberFormat="1" applyFont="1" applyFill="1" applyBorder="1" applyAlignment="1">
      <alignment horizontal="center" vertical="center" wrapText="1"/>
    </xf>
    <xf numFmtId="1" fontId="69" fillId="13" borderId="10" xfId="0" applyNumberFormat="1" applyFont="1" applyFill="1" applyBorder="1" applyAlignment="1">
      <alignment horizontal="center" vertical="center" wrapText="1"/>
    </xf>
    <xf numFmtId="1" fontId="69" fillId="13" borderId="20" xfId="0" applyNumberFormat="1" applyFont="1" applyFill="1" applyBorder="1" applyAlignment="1">
      <alignment horizontal="center" vertical="center" wrapText="1"/>
    </xf>
    <xf numFmtId="1" fontId="69" fillId="13" borderId="11" xfId="0" applyNumberFormat="1" applyFont="1" applyFill="1" applyBorder="1" applyAlignment="1">
      <alignment horizontal="center" vertical="center" wrapText="1"/>
    </xf>
    <xf numFmtId="1" fontId="69" fillId="13" borderId="18" xfId="0" applyNumberFormat="1" applyFont="1" applyFill="1" applyBorder="1" applyAlignment="1">
      <alignment horizontal="center" vertical="center" wrapText="1"/>
    </xf>
    <xf numFmtId="1" fontId="59" fillId="13" borderId="12" xfId="0" applyNumberFormat="1" applyFont="1" applyFill="1" applyBorder="1" applyAlignment="1">
      <alignment horizontal="center" vertical="center" wrapText="1"/>
    </xf>
    <xf numFmtId="0" fontId="59" fillId="13" borderId="9" xfId="0" applyFont="1" applyFill="1" applyBorder="1" applyAlignment="1">
      <alignment horizontal="center" vertical="center" wrapText="1"/>
    </xf>
    <xf numFmtId="0" fontId="59" fillId="13" borderId="10" xfId="0" applyFont="1" applyFill="1" applyBorder="1" applyAlignment="1">
      <alignment horizontal="center" vertical="center" wrapText="1"/>
    </xf>
    <xf numFmtId="0" fontId="59" fillId="13" borderId="20" xfId="0" applyFont="1" applyFill="1" applyBorder="1" applyAlignment="1">
      <alignment horizontal="center" vertical="center" wrapText="1"/>
    </xf>
    <xf numFmtId="0" fontId="59" fillId="13" borderId="11" xfId="0" applyFont="1" applyFill="1" applyBorder="1" applyAlignment="1">
      <alignment horizontal="center" vertical="center" wrapText="1"/>
    </xf>
    <xf numFmtId="0" fontId="59" fillId="13" borderId="18" xfId="0" applyFont="1" applyFill="1" applyBorder="1" applyAlignment="1">
      <alignment horizontal="center" vertical="center" wrapText="1"/>
    </xf>
    <xf numFmtId="0" fontId="0" fillId="8" borderId="32" xfId="0" applyFont="1" applyFill="1" applyBorder="1" applyAlignment="1">
      <alignment horizontal="center" vertical="center" wrapText="1"/>
    </xf>
    <xf numFmtId="0" fontId="29" fillId="8" borderId="29" xfId="0" applyFont="1" applyFill="1" applyBorder="1" applyAlignment="1">
      <alignment horizontal="center" vertical="center" wrapText="1"/>
    </xf>
    <xf numFmtId="1" fontId="69" fillId="13" borderId="30" xfId="0" applyNumberFormat="1" applyFont="1" applyFill="1" applyBorder="1" applyAlignment="1">
      <alignment horizontal="right" vertical="center" wrapText="1"/>
    </xf>
    <xf numFmtId="1" fontId="69" fillId="13" borderId="33" xfId="0" applyNumberFormat="1" applyFont="1" applyFill="1" applyBorder="1" applyAlignment="1">
      <alignment horizontal="right" vertical="center" wrapText="1"/>
    </xf>
    <xf numFmtId="164" fontId="69" fillId="13" borderId="31" xfId="0" applyNumberFormat="1" applyFont="1" applyFill="1" applyBorder="1" applyAlignment="1">
      <alignment horizontal="left" vertical="center" wrapText="1"/>
    </xf>
    <xf numFmtId="164" fontId="69" fillId="13" borderId="34" xfId="0" applyNumberFormat="1" applyFont="1" applyFill="1" applyBorder="1" applyAlignment="1">
      <alignment horizontal="left" vertical="center" wrapText="1"/>
    </xf>
    <xf numFmtId="0" fontId="29" fillId="8" borderId="32" xfId="0" applyFont="1" applyFill="1" applyBorder="1" applyAlignment="1">
      <alignment horizontal="center" vertical="center" wrapText="1"/>
    </xf>
    <xf numFmtId="1" fontId="59" fillId="13" borderId="29" xfId="0" applyNumberFormat="1" applyFont="1" applyFill="1" applyBorder="1" applyAlignment="1">
      <alignment horizontal="right" vertical="center" wrapText="1"/>
    </xf>
    <xf numFmtId="1" fontId="59" fillId="13" borderId="32" xfId="0" applyNumberFormat="1" applyFont="1" applyFill="1" applyBorder="1" applyAlignment="1">
      <alignment horizontal="right" vertical="center" wrapText="1"/>
    </xf>
    <xf numFmtId="164" fontId="59" fillId="13" borderId="31" xfId="0" applyNumberFormat="1" applyFont="1" applyFill="1" applyBorder="1" applyAlignment="1">
      <alignment horizontal="left" vertical="center" wrapText="1"/>
    </xf>
    <xf numFmtId="164" fontId="59" fillId="13" borderId="34" xfId="0" applyNumberFormat="1" applyFont="1" applyFill="1" applyBorder="1" applyAlignment="1">
      <alignment horizontal="left" vertical="center" wrapText="1"/>
    </xf>
    <xf numFmtId="164" fontId="67" fillId="13" borderId="34" xfId="0" applyNumberFormat="1" applyFont="1" applyFill="1" applyBorder="1" applyAlignment="1">
      <alignment horizontal="left" vertical="center" wrapText="1"/>
    </xf>
    <xf numFmtId="1" fontId="67" fillId="13" borderId="32" xfId="0" applyNumberFormat="1" applyFont="1" applyFill="1" applyBorder="1" applyAlignment="1">
      <alignment horizontal="right" vertical="center" wrapText="1"/>
    </xf>
    <xf numFmtId="1" fontId="67" fillId="13" borderId="29" xfId="0" applyNumberFormat="1" applyFont="1" applyFill="1" applyBorder="1" applyAlignment="1">
      <alignment horizontal="right" vertical="center" wrapText="1"/>
    </xf>
    <xf numFmtId="164" fontId="67" fillId="13" borderId="31" xfId="0" applyNumberFormat="1" applyFont="1" applyFill="1" applyBorder="1" applyAlignment="1">
      <alignment horizontal="left" vertical="center" wrapText="1"/>
    </xf>
    <xf numFmtId="1" fontId="69" fillId="13" borderId="54" xfId="0" applyNumberFormat="1" applyFont="1" applyFill="1" applyBorder="1" applyAlignment="1">
      <alignment horizontal="center" vertical="center" wrapText="1"/>
    </xf>
    <xf numFmtId="1" fontId="69" fillId="13" borderId="55" xfId="0" applyNumberFormat="1" applyFont="1" applyFill="1" applyBorder="1" applyAlignment="1">
      <alignment horizontal="center" vertical="center" wrapText="1"/>
    </xf>
    <xf numFmtId="9" fontId="10" fillId="9" borderId="0" xfId="1" applyNumberFormat="1" applyFont="1" applyFill="1" applyAlignment="1" applyProtection="1">
      <alignment horizontal="left" vertical="center"/>
      <protection hidden="1"/>
    </xf>
    <xf numFmtId="0" fontId="0" fillId="8" borderId="2" xfId="0" applyFont="1" applyFill="1" applyBorder="1" applyAlignment="1">
      <alignment horizontal="center" vertical="center" wrapText="1"/>
    </xf>
    <xf numFmtId="1" fontId="60" fillId="13" borderId="35" xfId="0" applyNumberFormat="1" applyFont="1" applyFill="1" applyBorder="1" applyAlignment="1">
      <alignment horizontal="center" vertical="center" wrapText="1"/>
    </xf>
    <xf numFmtId="1" fontId="60" fillId="13" borderId="37" xfId="0" applyNumberFormat="1" applyFont="1" applyFill="1" applyBorder="1" applyAlignment="1">
      <alignment horizontal="center" vertical="center" wrapText="1"/>
    </xf>
    <xf numFmtId="0" fontId="60" fillId="13" borderId="37" xfId="0" applyFont="1" applyFill="1" applyBorder="1" applyAlignment="1">
      <alignment horizontal="center" vertical="center" wrapText="1"/>
    </xf>
    <xf numFmtId="0" fontId="59" fillId="13" borderId="32" xfId="0" applyFont="1" applyFill="1" applyBorder="1" applyAlignment="1">
      <alignment horizontal="right" vertical="center" wrapText="1"/>
    </xf>
    <xf numFmtId="0" fontId="60" fillId="13" borderId="32" xfId="0" applyFont="1" applyFill="1" applyBorder="1" applyAlignment="1">
      <alignment horizontal="right" vertical="center" wrapText="1"/>
    </xf>
    <xf numFmtId="164" fontId="60" fillId="13" borderId="34" xfId="0" applyNumberFormat="1" applyFont="1" applyFill="1" applyBorder="1" applyAlignment="1">
      <alignment horizontal="left" vertical="center" wrapText="1"/>
    </xf>
    <xf numFmtId="164" fontId="60" fillId="13" borderId="31" xfId="0" applyNumberFormat="1" applyFont="1" applyFill="1" applyBorder="1" applyAlignment="1">
      <alignment horizontal="left" vertical="center" wrapText="1"/>
    </xf>
    <xf numFmtId="1" fontId="69" fillId="13" borderId="36" xfId="0" applyNumberFormat="1" applyFont="1" applyFill="1" applyBorder="1" applyAlignment="1">
      <alignment horizontal="center" vertical="center" wrapText="1"/>
    </xf>
    <xf numFmtId="1" fontId="69" fillId="13" borderId="37" xfId="0" applyNumberFormat="1" applyFont="1" applyFill="1" applyBorder="1" applyAlignment="1">
      <alignment horizontal="center" vertical="center" wrapText="1"/>
    </xf>
    <xf numFmtId="1" fontId="67" fillId="13" borderId="35" xfId="0" applyNumberFormat="1" applyFont="1" applyFill="1" applyBorder="1" applyAlignment="1">
      <alignment horizontal="center" vertical="center" wrapText="1"/>
    </xf>
    <xf numFmtId="1" fontId="67" fillId="13" borderId="37" xfId="0" applyNumberFormat="1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left" vertical="center" wrapText="1"/>
    </xf>
    <xf numFmtId="9" fontId="6" fillId="13" borderId="2" xfId="0" applyNumberFormat="1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9" fontId="61" fillId="13" borderId="2" xfId="0" applyNumberFormat="1" applyFont="1" applyFill="1" applyBorder="1" applyAlignment="1">
      <alignment horizontal="center" vertical="center" wrapText="1"/>
    </xf>
    <xf numFmtId="9" fontId="61" fillId="13" borderId="3" xfId="0" applyNumberFormat="1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9" fontId="70" fillId="13" borderId="6" xfId="0" applyNumberFormat="1" applyFont="1" applyFill="1" applyBorder="1" applyAlignment="1">
      <alignment horizontal="center" vertical="center" wrapText="1"/>
    </xf>
    <xf numFmtId="9" fontId="70" fillId="13" borderId="3" xfId="0" applyNumberFormat="1" applyFont="1" applyFill="1" applyBorder="1" applyAlignment="1">
      <alignment horizontal="center" vertical="center" wrapText="1"/>
    </xf>
    <xf numFmtId="9" fontId="68" fillId="13" borderId="2" xfId="0" applyNumberFormat="1" applyFont="1" applyFill="1" applyBorder="1" applyAlignment="1">
      <alignment horizontal="center" vertical="center" wrapText="1"/>
    </xf>
    <xf numFmtId="9" fontId="68" fillId="13" borderId="3" xfId="0" applyNumberFormat="1" applyFont="1" applyFill="1" applyBorder="1" applyAlignment="1">
      <alignment horizontal="center" vertical="center" wrapText="1"/>
    </xf>
    <xf numFmtId="1" fontId="59" fillId="13" borderId="35" xfId="0" applyNumberFormat="1" applyFont="1" applyFill="1" applyBorder="1" applyAlignment="1">
      <alignment horizontal="center" vertical="center" wrapText="1"/>
    </xf>
    <xf numFmtId="1" fontId="59" fillId="13" borderId="37" xfId="0" applyNumberFormat="1" applyFont="1" applyFill="1" applyBorder="1" applyAlignment="1">
      <alignment horizontal="center" vertical="center" wrapText="1"/>
    </xf>
    <xf numFmtId="0" fontId="59" fillId="13" borderId="37" xfId="0" applyFont="1" applyFill="1" applyBorder="1" applyAlignment="1">
      <alignment horizontal="center" vertical="center" wrapText="1"/>
    </xf>
    <xf numFmtId="1" fontId="69" fillId="13" borderId="32" xfId="0" applyNumberFormat="1" applyFont="1" applyFill="1" applyBorder="1" applyAlignment="1">
      <alignment horizontal="right" vertical="center" wrapText="1"/>
    </xf>
    <xf numFmtId="0" fontId="60" fillId="13" borderId="29" xfId="0" applyFont="1" applyFill="1" applyBorder="1" applyAlignment="1">
      <alignment horizontal="right" vertical="center" wrapText="1"/>
    </xf>
    <xf numFmtId="1" fontId="69" fillId="13" borderId="29" xfId="0" applyNumberFormat="1" applyFont="1" applyFill="1" applyBorder="1" applyAlignment="1">
      <alignment horizontal="right" vertical="center" wrapText="1"/>
    </xf>
    <xf numFmtId="1" fontId="69" fillId="13" borderId="35" xfId="0" applyNumberFormat="1" applyFont="1" applyFill="1" applyBorder="1" applyAlignment="1">
      <alignment horizontal="center" vertical="center" wrapText="1"/>
    </xf>
    <xf numFmtId="0" fontId="59" fillId="13" borderId="29" xfId="0" applyFont="1" applyFill="1" applyBorder="1" applyAlignment="1">
      <alignment horizontal="right" vertical="center" wrapText="1"/>
    </xf>
    <xf numFmtId="9" fontId="70" fillId="13" borderId="2" xfId="0" applyNumberFormat="1" applyFont="1" applyFill="1" applyBorder="1" applyAlignment="1">
      <alignment horizontal="center" vertical="center" wrapText="1"/>
    </xf>
    <xf numFmtId="9" fontId="6" fillId="13" borderId="3" xfId="0" applyNumberFormat="1" applyFont="1" applyFill="1" applyBorder="1" applyAlignment="1">
      <alignment horizontal="center" vertical="center" wrapText="1"/>
    </xf>
    <xf numFmtId="0" fontId="59" fillId="13" borderId="35" xfId="0" applyFont="1" applyFill="1" applyBorder="1" applyAlignment="1">
      <alignment horizontal="center" vertical="center" wrapText="1"/>
    </xf>
    <xf numFmtId="0" fontId="60" fillId="13" borderId="12" xfId="0" applyFont="1" applyFill="1" applyBorder="1" applyAlignment="1">
      <alignment horizontal="center" vertical="center" wrapText="1"/>
    </xf>
    <xf numFmtId="0" fontId="60" fillId="13" borderId="35" xfId="0" applyFont="1" applyFill="1" applyBorder="1" applyAlignment="1">
      <alignment horizontal="center" vertical="center" wrapText="1"/>
    </xf>
    <xf numFmtId="0" fontId="59" fillId="13" borderId="12" xfId="0" applyFont="1" applyFill="1" applyBorder="1" applyAlignment="1">
      <alignment horizontal="center" vertical="center" wrapText="1"/>
    </xf>
    <xf numFmtId="0" fontId="6" fillId="16" borderId="65" xfId="0" applyFont="1" applyFill="1" applyBorder="1" applyAlignment="1">
      <alignment horizontal="center"/>
    </xf>
    <xf numFmtId="0" fontId="6" fillId="16" borderId="66" xfId="0" applyFont="1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15" borderId="0" xfId="0" applyFill="1" applyAlignment="1">
      <alignment horizontal="center" vertical="center"/>
    </xf>
    <xf numFmtId="0" fontId="50" fillId="7" borderId="63" xfId="5" applyFont="1" applyFill="1" applyBorder="1" applyAlignment="1" applyProtection="1">
      <alignment horizontal="center" vertical="center"/>
      <protection locked="0"/>
    </xf>
    <xf numFmtId="0" fontId="55" fillId="7" borderId="0" xfId="5" applyFont="1" applyFill="1" applyAlignment="1" applyProtection="1">
      <alignment horizontal="center" vertical="center"/>
      <protection locked="0"/>
    </xf>
    <xf numFmtId="0" fontId="42" fillId="7" borderId="0" xfId="5" applyFont="1" applyFill="1" applyAlignment="1" applyProtection="1">
      <alignment horizontal="center" vertical="center"/>
      <protection locked="0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230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7C2855"/>
      <color rgb="FFFFC7CE"/>
      <color rgb="FFC2307C"/>
      <color rgb="FFF1D3E3"/>
      <color rgb="FF9C0006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Q1'!$I$10:$I$27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Cwm Taf Morgannwg UHB, Royal Glamorgan Hospital </c:v>
                </c:pt>
                <c:pt idx="10">
                  <c:v>Taunton, Musgrove Park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Bristol, Bristol Heart Institute / Bristol Royal Hospital for Children</c:v>
                </c:pt>
                <c:pt idx="14">
                  <c:v>Plymouth, Derriford Hospital </c:v>
                </c:pt>
                <c:pt idx="15">
                  <c:v>Cwm Taf Morgannwg UHB, Prince Charles Hospital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12</c:v>
                </c:pt>
                <c:pt idx="12">
                  <c:v>13</c:v>
                </c:pt>
                <c:pt idx="13">
                  <c:v>18</c:v>
                </c:pt>
                <c:pt idx="14">
                  <c:v>21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Q1'!$I$10:$I$27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Cwm Taf Morgannwg UHB, Royal Glamorgan Hospital </c:v>
                </c:pt>
                <c:pt idx="10">
                  <c:v>Taunton, Musgrove Park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Bristol, Bristol Heart Institute / Bristol Royal Hospital for Children</c:v>
                </c:pt>
                <c:pt idx="14">
                  <c:v>Plymouth, Derriford Hospital </c:v>
                </c:pt>
                <c:pt idx="15">
                  <c:v>Cwm Taf Morgannwg UHB, Prince Charles Hospital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26</c:v>
                </c:pt>
                <c:pt idx="16">
                  <c:v>26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6563200"/>
        <c:axId val="240810240"/>
      </c:barChart>
      <c:catAx>
        <c:axId val="20656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0810240"/>
        <c:crosses val="autoZero"/>
        <c:auto val="1"/>
        <c:lblAlgn val="ctr"/>
        <c:lblOffset val="100"/>
        <c:noMultiLvlLbl val="0"/>
      </c:catAx>
      <c:valAx>
        <c:axId val="24081024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656320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Q1'!$N$81:$N$98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Hywel Dda UHB, Glangwilli Hospital</c:v>
                </c:pt>
                <c:pt idx="16">
                  <c:v>Gloucester, Gloucestershire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0.17</c:v>
                </c:pt>
                <c:pt idx="1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2982528"/>
        <c:axId val="183030528"/>
      </c:barChart>
      <c:catAx>
        <c:axId val="182982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3030528"/>
        <c:crosses val="autoZero"/>
        <c:auto val="1"/>
        <c:lblAlgn val="ctr"/>
        <c:lblOffset val="100"/>
        <c:noMultiLvlLbl val="0"/>
      </c:catAx>
      <c:valAx>
        <c:axId val="1830305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82982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9-49AB-8CB1-76025A7764A6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9-49AB-8CB1-76025A7764A6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99-49AB-8CB1-76025A776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183180672"/>
        <c:axId val="183186560"/>
      </c:stockChart>
      <c:catAx>
        <c:axId val="18318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186560"/>
        <c:crosses val="autoZero"/>
        <c:auto val="1"/>
        <c:lblAlgn val="ctr"/>
        <c:lblOffset val="100"/>
        <c:noMultiLvlLbl val="0"/>
      </c:catAx>
      <c:valAx>
        <c:axId val="1831865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83180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1-4D9A-AB76-825D7FB5B20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1-4D9A-AB76-825D7FB5B20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1-4D9A-AB76-825D7FB5B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183201792"/>
        <c:axId val="183203328"/>
      </c:stockChart>
      <c:catAx>
        <c:axId val="18320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203328"/>
        <c:crosses val="autoZero"/>
        <c:auto val="1"/>
        <c:lblAlgn val="ctr"/>
        <c:lblOffset val="100"/>
        <c:noMultiLvlLbl val="0"/>
      </c:catAx>
      <c:valAx>
        <c:axId val="183203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320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Q2'!$I$10:$I$27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Cwm Taf Morgannwg UHB, Prince Charles Hospital</c:v>
                </c:pt>
                <c:pt idx="8">
                  <c:v>Barnstaple, North Devon District Hospital </c:v>
                </c:pt>
                <c:pt idx="9">
                  <c:v>Truro, Royal Cornwall Hospital </c:v>
                </c:pt>
                <c:pt idx="10">
                  <c:v>Gloucester, Gloucestershire Hospitals</c:v>
                </c:pt>
                <c:pt idx="11">
                  <c:v>Taunton, Musgrove Park Hospital </c:v>
                </c:pt>
                <c:pt idx="12">
                  <c:v>Cardiff &amp; Vale UHB, Noah’s Ark / University Hospital Wales</c:v>
                </c:pt>
                <c:pt idx="13">
                  <c:v>Plymouth, Derriford Hospital </c:v>
                </c:pt>
                <c:pt idx="14">
                  <c:v>Hywel Dda UHB, Glangwilli Hospital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Q2'!$J$10:$J$27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8</c:v>
                </c:pt>
                <c:pt idx="12">
                  <c:v>18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Q2'!$I$10:$I$27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Cwm Taf Morgannwg UHB, Prince Charles Hospital</c:v>
                </c:pt>
                <c:pt idx="8">
                  <c:v>Barnstaple, North Devon District Hospital </c:v>
                </c:pt>
                <c:pt idx="9">
                  <c:v>Truro, Royal Cornwall Hospital </c:v>
                </c:pt>
                <c:pt idx="10">
                  <c:v>Gloucester, Gloucestershire Hospitals</c:v>
                </c:pt>
                <c:pt idx="11">
                  <c:v>Taunton, Musgrove Park Hospital </c:v>
                </c:pt>
                <c:pt idx="12">
                  <c:v>Cardiff &amp; Vale UHB, Noah’s Ark / University Hospital Wales</c:v>
                </c:pt>
                <c:pt idx="13">
                  <c:v>Plymouth, Derriford Hospital </c:v>
                </c:pt>
                <c:pt idx="14">
                  <c:v>Hywel Dda UHB, Glangwilli Hospital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Q2'!$K$10:$K$27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26</c:v>
                </c:pt>
                <c:pt idx="15">
                  <c:v>47</c:v>
                </c:pt>
                <c:pt idx="16">
                  <c:v>60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198352256"/>
        <c:axId val="198354048"/>
      </c:barChart>
      <c:catAx>
        <c:axId val="19835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98354048"/>
        <c:crosses val="autoZero"/>
        <c:auto val="1"/>
        <c:lblAlgn val="ctr"/>
        <c:lblOffset val="100"/>
        <c:noMultiLvlLbl val="0"/>
      </c:catAx>
      <c:valAx>
        <c:axId val="198354048"/>
        <c:scaling>
          <c:orientation val="minMax"/>
          <c:max val="120"/>
        </c:scaling>
        <c:delete val="1"/>
        <c:axPos val="b"/>
        <c:numFmt formatCode="General" sourceLinked="1"/>
        <c:majorTickMark val="out"/>
        <c:minorTickMark val="none"/>
        <c:tickLblPos val="nextTo"/>
        <c:crossAx val="198352256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Taunton, Musgrove Park Hospital </c:v>
                </c:pt>
                <c:pt idx="1">
                  <c:v>Plymouth, Derriford Hospital </c:v>
                </c:pt>
                <c:pt idx="2">
                  <c:v>Barnstaple, North Devon District Hospital </c:v>
                </c:pt>
                <c:pt idx="3">
                  <c:v>Cwm Taf Morgannwg UHB, Princess of Wales Hospital</c:v>
                </c:pt>
                <c:pt idx="4">
                  <c:v>Aneurin Bevan UHB, Nevill Hall &amp; Royal Gwent Hospitals</c:v>
                </c:pt>
                <c:pt idx="5">
                  <c:v>Torquay, Torbay General District Hospital </c:v>
                </c:pt>
                <c:pt idx="6">
                  <c:v>Swindon, Great Weston Hospital </c:v>
                </c:pt>
                <c:pt idx="7">
                  <c:v>Cardiff &amp; Vale UHB, Noah’s Ark / University Hospital Wales</c:v>
                </c:pt>
                <c:pt idx="8">
                  <c:v>Cwm Taf Morgannwg UHB, Royal Glamorgan Hospital </c:v>
                </c:pt>
                <c:pt idx="9">
                  <c:v>Exeter, Royal Devon and Exeter Hospital </c:v>
                </c:pt>
                <c:pt idx="10">
                  <c:v>Bath, Royal United Hospital </c:v>
                </c:pt>
                <c:pt idx="11">
                  <c:v>Truro, Royal Cornwall Hospital </c:v>
                </c:pt>
                <c:pt idx="12">
                  <c:v>Gloucester, Gloucestershire Hospitals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Bristol, Bristol Heart Institute / Bristol Royal Hospital for Children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9</c:v>
                </c:pt>
                <c:pt idx="10">
                  <c:v>16</c:v>
                </c:pt>
                <c:pt idx="11">
                  <c:v>8</c:v>
                </c:pt>
                <c:pt idx="12">
                  <c:v>11.5</c:v>
                </c:pt>
                <c:pt idx="13">
                  <c:v>19.670000000000002</c:v>
                </c:pt>
                <c:pt idx="14">
                  <c:v>22</c:v>
                </c:pt>
                <c:pt idx="15">
                  <c:v>67</c:v>
                </c:pt>
                <c:pt idx="16">
                  <c:v>80</c:v>
                </c:pt>
                <c:pt idx="1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Taunton, Musgrove Park Hospital </c:v>
                </c:pt>
                <c:pt idx="1">
                  <c:v>Plymouth, Derriford Hospital </c:v>
                </c:pt>
                <c:pt idx="2">
                  <c:v>Barnstaple, North Devon District Hospital </c:v>
                </c:pt>
                <c:pt idx="3">
                  <c:v>Cwm Taf Morgannwg UHB, Princess of Wales Hospital</c:v>
                </c:pt>
                <c:pt idx="4">
                  <c:v>Aneurin Bevan UHB, Nevill Hall &amp; Royal Gwent Hospitals</c:v>
                </c:pt>
                <c:pt idx="5">
                  <c:v>Torquay, Torbay General District Hospital </c:v>
                </c:pt>
                <c:pt idx="6">
                  <c:v>Swindon, Great Weston Hospital </c:v>
                </c:pt>
                <c:pt idx="7">
                  <c:v>Cardiff &amp; Vale UHB, Noah’s Ark / University Hospital Wales</c:v>
                </c:pt>
                <c:pt idx="8">
                  <c:v>Cwm Taf Morgannwg UHB, Royal Glamorgan Hospital </c:v>
                </c:pt>
                <c:pt idx="9">
                  <c:v>Exeter, Royal Devon and Exeter Hospital </c:v>
                </c:pt>
                <c:pt idx="10">
                  <c:v>Bath, Royal United Hospital </c:v>
                </c:pt>
                <c:pt idx="11">
                  <c:v>Truro, Royal Cornwall Hospital </c:v>
                </c:pt>
                <c:pt idx="12">
                  <c:v>Gloucester, Gloucestershire Hospitals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Bristol, Bristol Heart Institute / Bristol Royal Hospital for Children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  <c:pt idx="8">
                  <c:v>14.2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19.7</c:v>
                </c:pt>
                <c:pt idx="13">
                  <c:v>21.5</c:v>
                </c:pt>
                <c:pt idx="14">
                  <c:v>19</c:v>
                </c:pt>
                <c:pt idx="15">
                  <c:v>0</c:v>
                </c:pt>
                <c:pt idx="16">
                  <c:v>32</c:v>
                </c:pt>
                <c:pt idx="1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198463488"/>
        <c:axId val="198465024"/>
      </c:barChart>
      <c:catAx>
        <c:axId val="19846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98465024"/>
        <c:crosses val="autoZero"/>
        <c:auto val="1"/>
        <c:lblAlgn val="ctr"/>
        <c:lblOffset val="100"/>
        <c:noMultiLvlLbl val="0"/>
      </c:catAx>
      <c:valAx>
        <c:axId val="19846502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1984634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Truro, Royal Cornwall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Q2'!$J$36:$J$53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18</c:v>
                </c:pt>
                <c:pt idx="11">
                  <c:v>30</c:v>
                </c:pt>
                <c:pt idx="12">
                  <c:v>1</c:v>
                </c:pt>
                <c:pt idx="13">
                  <c:v>19</c:v>
                </c:pt>
                <c:pt idx="14">
                  <c:v>0</c:v>
                </c:pt>
                <c:pt idx="15">
                  <c:v>35</c:v>
                </c:pt>
                <c:pt idx="16">
                  <c:v>246</c:v>
                </c:pt>
                <c:pt idx="17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Truro, Royal Cornwall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Q2'!$K$36:$K$53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22</c:v>
                </c:pt>
                <c:pt idx="12">
                  <c:v>62</c:v>
                </c:pt>
                <c:pt idx="13">
                  <c:v>62</c:v>
                </c:pt>
                <c:pt idx="14">
                  <c:v>0</c:v>
                </c:pt>
                <c:pt idx="15">
                  <c:v>55</c:v>
                </c:pt>
                <c:pt idx="16">
                  <c:v>298</c:v>
                </c:pt>
                <c:pt idx="1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Truro, Royal Cornwall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Q2'!$L$36:$L$53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20</c:v>
                </c:pt>
                <c:pt idx="14">
                  <c:v>124</c:v>
                </c:pt>
                <c:pt idx="15">
                  <c:v>67</c:v>
                </c:pt>
                <c:pt idx="16">
                  <c:v>3</c:v>
                </c:pt>
                <c:pt idx="17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8608384"/>
        <c:axId val="198609920"/>
      </c:barChart>
      <c:catAx>
        <c:axId val="198608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8609920"/>
        <c:crosses val="autoZero"/>
        <c:auto val="1"/>
        <c:lblAlgn val="ctr"/>
        <c:lblOffset val="100"/>
        <c:noMultiLvlLbl val="0"/>
      </c:catAx>
      <c:valAx>
        <c:axId val="19860992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98608384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Q2'!$J$58:$J$75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13</c:v>
                </c:pt>
                <c:pt idx="14">
                  <c:v>30</c:v>
                </c:pt>
                <c:pt idx="15">
                  <c:v>1</c:v>
                </c:pt>
                <c:pt idx="16">
                  <c:v>49</c:v>
                </c:pt>
                <c:pt idx="1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Q2'!$K$58:$K$75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9</c:v>
                </c:pt>
                <c:pt idx="14">
                  <c:v>22</c:v>
                </c:pt>
                <c:pt idx="15">
                  <c:v>62</c:v>
                </c:pt>
                <c:pt idx="16">
                  <c:v>59</c:v>
                </c:pt>
                <c:pt idx="1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Q2'!$L$58:$L$75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11</c:v>
                </c:pt>
                <c:pt idx="1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8638592"/>
        <c:axId val="199312128"/>
      </c:barChart>
      <c:catAx>
        <c:axId val="198638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12128"/>
        <c:crosses val="autoZero"/>
        <c:auto val="1"/>
        <c:lblAlgn val="ctr"/>
        <c:lblOffset val="100"/>
        <c:noMultiLvlLbl val="0"/>
      </c:catAx>
      <c:valAx>
        <c:axId val="19931212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9863859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793905847013"/>
          <c:y val="0.10895280812244794"/>
          <c:w val="0.7540679026832511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Bath, Royal United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Hywel Dda UHB, Glangwilli Hospital</c:v>
                </c:pt>
                <c:pt idx="11">
                  <c:v>Cwm Taf Morgannwg UHB, Royal Glamorgan Hospital </c:v>
                </c:pt>
                <c:pt idx="12">
                  <c:v>Cwm Taf Morgannwg UHB, Prince Charles Hospital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  <c:pt idx="13">
                  <c:v>28</c:v>
                </c:pt>
                <c:pt idx="14">
                  <c:v>27</c:v>
                </c:pt>
                <c:pt idx="15">
                  <c:v>55</c:v>
                </c:pt>
                <c:pt idx="16">
                  <c:v>196</c:v>
                </c:pt>
                <c:pt idx="17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Bath, Royal United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Hywel Dda UHB, Glangwilli Hospital</c:v>
                </c:pt>
                <c:pt idx="11">
                  <c:v>Cwm Taf Morgannwg UHB, Royal Glamorgan Hospital </c:v>
                </c:pt>
                <c:pt idx="12">
                  <c:v>Cwm Taf Morgannwg UHB, Prince Charles Hospital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61</c:v>
                </c:pt>
                <c:pt idx="15">
                  <c:v>107</c:v>
                </c:pt>
                <c:pt idx="16">
                  <c:v>125</c:v>
                </c:pt>
                <c:pt idx="17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Bath, Royal United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Hywel Dda UHB, Glangwilli Hospital</c:v>
                </c:pt>
                <c:pt idx="11">
                  <c:v>Cwm Taf Morgannwg UHB, Royal Glamorgan Hospital </c:v>
                </c:pt>
                <c:pt idx="12">
                  <c:v>Cwm Taf Morgannwg UHB, Prince Charles Hospital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43</c:v>
                </c:pt>
                <c:pt idx="15">
                  <c:v>137</c:v>
                </c:pt>
                <c:pt idx="16">
                  <c:v>291</c:v>
                </c:pt>
                <c:pt idx="1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9336704"/>
        <c:axId val="199338240"/>
      </c:barChart>
      <c:catAx>
        <c:axId val="19933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38240"/>
        <c:crosses val="autoZero"/>
        <c:auto val="1"/>
        <c:lblAlgn val="ctr"/>
        <c:lblOffset val="100"/>
        <c:noMultiLvlLbl val="0"/>
      </c:catAx>
      <c:valAx>
        <c:axId val="199338240"/>
        <c:scaling>
          <c:orientation val="minMax"/>
          <c:max val="7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9933670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Bath, Royal United Hospital </c:v>
                </c:pt>
                <c:pt idx="6">
                  <c:v>Cardiff &amp; Vale UHB, Noah’s Ark / University Hospital Wales</c:v>
                </c:pt>
                <c:pt idx="7">
                  <c:v>Bristol, Bristol Heart Institute / Bristol Royal Hospital for Children</c:v>
                </c:pt>
                <c:pt idx="8">
                  <c:v>Swansea Bay UHB, Morriston / Singleton Hospitals</c:v>
                </c:pt>
                <c:pt idx="9">
                  <c:v>Truro, Royal Cornwall Hospital </c:v>
                </c:pt>
                <c:pt idx="10">
                  <c:v>Hywel Dda UHB, Withybush Hospital</c:v>
                </c:pt>
                <c:pt idx="11">
                  <c:v>Cwm Taf Morgannwg UHB, Royal Glamorgan Hospital </c:v>
                </c:pt>
                <c:pt idx="12">
                  <c:v>Hywel Dda UHB, Glangwilli Hospital</c:v>
                </c:pt>
                <c:pt idx="13">
                  <c:v>Swindon, Great Weston Hospital </c:v>
                </c:pt>
                <c:pt idx="14">
                  <c:v>Cwm Taf Morgannwg UHB, Prince Charles Hospital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7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24</c:v>
                </c:pt>
                <c:pt idx="14">
                  <c:v>7</c:v>
                </c:pt>
                <c:pt idx="15">
                  <c:v>22</c:v>
                </c:pt>
                <c:pt idx="16">
                  <c:v>51</c:v>
                </c:pt>
                <c:pt idx="1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Bath, Royal United Hospital </c:v>
                </c:pt>
                <c:pt idx="6">
                  <c:v>Cardiff &amp; Vale UHB, Noah’s Ark / University Hospital Wales</c:v>
                </c:pt>
                <c:pt idx="7">
                  <c:v>Bristol, Bristol Heart Institute / Bristol Royal Hospital for Children</c:v>
                </c:pt>
                <c:pt idx="8">
                  <c:v>Swansea Bay UHB, Morriston / Singleton Hospitals</c:v>
                </c:pt>
                <c:pt idx="9">
                  <c:v>Truro, Royal Cornwall Hospital </c:v>
                </c:pt>
                <c:pt idx="10">
                  <c:v>Hywel Dda UHB, Withybush Hospital</c:v>
                </c:pt>
                <c:pt idx="11">
                  <c:v>Cwm Taf Morgannwg UHB, Royal Glamorgan Hospital </c:v>
                </c:pt>
                <c:pt idx="12">
                  <c:v>Hywel Dda UHB, Glangwilli Hospital</c:v>
                </c:pt>
                <c:pt idx="13">
                  <c:v>Swindon, Great Weston Hospital </c:v>
                </c:pt>
                <c:pt idx="14">
                  <c:v>Cwm Taf Morgannwg UHB, Prince Charles Hospital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17</c:v>
                </c:pt>
                <c:pt idx="13">
                  <c:v>14</c:v>
                </c:pt>
                <c:pt idx="14">
                  <c:v>19</c:v>
                </c:pt>
                <c:pt idx="15">
                  <c:v>44</c:v>
                </c:pt>
                <c:pt idx="16">
                  <c:v>29</c:v>
                </c:pt>
                <c:pt idx="17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Bath, Royal United Hospital </c:v>
                </c:pt>
                <c:pt idx="6">
                  <c:v>Cardiff &amp; Vale UHB, Noah’s Ark / University Hospital Wales</c:v>
                </c:pt>
                <c:pt idx="7">
                  <c:v>Bristol, Bristol Heart Institute / Bristol Royal Hospital for Children</c:v>
                </c:pt>
                <c:pt idx="8">
                  <c:v>Swansea Bay UHB, Morriston / Singleton Hospitals</c:v>
                </c:pt>
                <c:pt idx="9">
                  <c:v>Truro, Royal Cornwall Hospital </c:v>
                </c:pt>
                <c:pt idx="10">
                  <c:v>Hywel Dda UHB, Withybush Hospital</c:v>
                </c:pt>
                <c:pt idx="11">
                  <c:v>Cwm Taf Morgannwg UHB, Royal Glamorgan Hospital </c:v>
                </c:pt>
                <c:pt idx="12">
                  <c:v>Hywel Dda UHB, Glangwilli Hospital</c:v>
                </c:pt>
                <c:pt idx="13">
                  <c:v>Swindon, Great Weston Hospital </c:v>
                </c:pt>
                <c:pt idx="14">
                  <c:v>Cwm Taf Morgannwg UHB, Prince Charles Hospital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16</c:v>
                </c:pt>
                <c:pt idx="15">
                  <c:v>24</c:v>
                </c:pt>
                <c:pt idx="16">
                  <c:v>23</c:v>
                </c:pt>
                <c:pt idx="1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9375104"/>
        <c:axId val="199380992"/>
      </c:barChart>
      <c:catAx>
        <c:axId val="19937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80992"/>
        <c:crosses val="autoZero"/>
        <c:auto val="1"/>
        <c:lblAlgn val="ctr"/>
        <c:lblOffset val="100"/>
        <c:noMultiLvlLbl val="0"/>
      </c:catAx>
      <c:valAx>
        <c:axId val="199380992"/>
        <c:scaling>
          <c:orientation val="minMax"/>
          <c:max val="7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9937510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Hywel Dda UHB, Withybush Hospital</c:v>
                </c:pt>
                <c:pt idx="6">
                  <c:v>Hywel Dda UHB, Glangwilli Hospital</c:v>
                </c:pt>
                <c:pt idx="7">
                  <c:v>Torquay, Torbay General District Hospital </c:v>
                </c:pt>
                <c:pt idx="8">
                  <c:v>Swindon, Great Weston Hospital </c:v>
                </c:pt>
                <c:pt idx="9">
                  <c:v>Bath, Royal United Hospital </c:v>
                </c:pt>
                <c:pt idx="10">
                  <c:v>Truro, Royal Cornwall Hospital </c:v>
                </c:pt>
                <c:pt idx="11">
                  <c:v>Cardiff &amp; Vale UHB, Noah’s Ark / University Hospital Wales</c:v>
                </c:pt>
                <c:pt idx="12">
                  <c:v>Bristol, Bristol Heart Institute / Bristol Royal Hospital for Children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Gloucester, Gloucestershire Hospitals</c:v>
                </c:pt>
                <c:pt idx="16">
                  <c:v>Exeter, Royal Devon and Exeter Hospital 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0.03</c:v>
                </c:pt>
                <c:pt idx="8">
                  <c:v>0.05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7.5999999999999998E-2</c:v>
                </c:pt>
                <c:pt idx="12">
                  <c:v>9.2999999999999999E-2</c:v>
                </c:pt>
                <c:pt idx="13">
                  <c:v>0.12</c:v>
                </c:pt>
                <c:pt idx="14">
                  <c:v>0.12</c:v>
                </c:pt>
                <c:pt idx="15">
                  <c:v>0.13</c:v>
                </c:pt>
                <c:pt idx="16">
                  <c:v>0.17</c:v>
                </c:pt>
                <c:pt idx="17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443200"/>
        <c:axId val="199444736"/>
      </c:barChart>
      <c:catAx>
        <c:axId val="199443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444736"/>
        <c:crosses val="autoZero"/>
        <c:auto val="1"/>
        <c:lblAlgn val="ctr"/>
        <c:lblOffset val="100"/>
        <c:noMultiLvlLbl val="0"/>
      </c:catAx>
      <c:valAx>
        <c:axId val="19944473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443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Bath, Royal United Hospital </c:v>
                </c:pt>
                <c:pt idx="7">
                  <c:v>Cwm Taf Morgannwg UHB, Royal Glamorgan Hospital </c:v>
                </c:pt>
                <c:pt idx="8">
                  <c:v>Plymouth, Derriford Hospital 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Gloucester, Gloucestershire Hospitals</c:v>
                </c:pt>
                <c:pt idx="12">
                  <c:v>Cwm Taf Morgannwg UHB, Prince Charles Hospital</c:v>
                </c:pt>
                <c:pt idx="13">
                  <c:v>Swansea Bay UHB, Morriston / Singleton Hospitals</c:v>
                </c:pt>
                <c:pt idx="14">
                  <c:v>Taunton, Musgrove Park Hospital </c:v>
                </c:pt>
                <c:pt idx="15">
                  <c:v>Hywel Dda UHB, Withybush Hospital</c:v>
                </c:pt>
                <c:pt idx="16">
                  <c:v>Hywel Dda UHB, Glangwilli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13</c:v>
                </c:pt>
                <c:pt idx="11">
                  <c:v>12.8</c:v>
                </c:pt>
                <c:pt idx="12">
                  <c:v>14</c:v>
                </c:pt>
                <c:pt idx="13">
                  <c:v>16</c:v>
                </c:pt>
                <c:pt idx="14">
                  <c:v>36</c:v>
                </c:pt>
                <c:pt idx="15">
                  <c:v>22</c:v>
                </c:pt>
                <c:pt idx="16">
                  <c:v>76</c:v>
                </c:pt>
                <c:pt idx="1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Bath, Royal United Hospital </c:v>
                </c:pt>
                <c:pt idx="7">
                  <c:v>Cwm Taf Morgannwg UHB, Royal Glamorgan Hospital </c:v>
                </c:pt>
                <c:pt idx="8">
                  <c:v>Plymouth, Derriford Hospital 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Gloucester, Gloucestershire Hospitals</c:v>
                </c:pt>
                <c:pt idx="12">
                  <c:v>Cwm Taf Morgannwg UHB, Prince Charles Hospital</c:v>
                </c:pt>
                <c:pt idx="13">
                  <c:v>Swansea Bay UHB, Morriston / Singleton Hospitals</c:v>
                </c:pt>
                <c:pt idx="14">
                  <c:v>Taunton, Musgrove Park Hospital </c:v>
                </c:pt>
                <c:pt idx="15">
                  <c:v>Hywel Dda UHB, Withybush Hospital</c:v>
                </c:pt>
                <c:pt idx="16">
                  <c:v>Hywel Dda UHB, Glangwilli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5</c:v>
                </c:pt>
                <c:pt idx="9">
                  <c:v>13</c:v>
                </c:pt>
                <c:pt idx="10">
                  <c:v>9</c:v>
                </c:pt>
                <c:pt idx="11">
                  <c:v>18.8</c:v>
                </c:pt>
                <c:pt idx="12">
                  <c:v>30</c:v>
                </c:pt>
                <c:pt idx="13">
                  <c:v>35</c:v>
                </c:pt>
                <c:pt idx="14">
                  <c:v>0</c:v>
                </c:pt>
                <c:pt idx="15">
                  <c:v>40</c:v>
                </c:pt>
                <c:pt idx="16">
                  <c:v>65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4376320"/>
        <c:axId val="244378624"/>
      </c:barChart>
      <c:catAx>
        <c:axId val="244376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4378624"/>
        <c:crosses val="autoZero"/>
        <c:auto val="1"/>
        <c:lblAlgn val="ctr"/>
        <c:lblOffset val="100"/>
        <c:noMultiLvlLbl val="0"/>
      </c:catAx>
      <c:valAx>
        <c:axId val="24437862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43763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Hywel Dda UHB, Withybush Hospital</c:v>
                </c:pt>
                <c:pt idx="6">
                  <c:v>Hywel Dda UHB, Glangwilli Hospital</c:v>
                </c:pt>
                <c:pt idx="7">
                  <c:v>Cardiff &amp; Vale UHB, Noah’s Ark / University Hospital Wales</c:v>
                </c:pt>
                <c:pt idx="8">
                  <c:v>Bristol, Bristol Heart Institute / Bristol Royal Hospital for Children</c:v>
                </c:pt>
                <c:pt idx="9">
                  <c:v>Swindon, Great Weston Hospital </c:v>
                </c:pt>
                <c:pt idx="10">
                  <c:v>Torquay, Torbay General District Hospital </c:v>
                </c:pt>
                <c:pt idx="11">
                  <c:v>Truro, Royal Cornwall Hospital </c:v>
                </c:pt>
                <c:pt idx="12">
                  <c:v>Bath, Royal United Hospital </c:v>
                </c:pt>
                <c:pt idx="13">
                  <c:v>Swansea Bay UHB, Morriston / Singleton Hospitals</c:v>
                </c:pt>
                <c:pt idx="14">
                  <c:v>Gloucester, Gloucestershire Hospitals</c:v>
                </c:pt>
                <c:pt idx="15">
                  <c:v>Cwm Taf Morgannwg UHB, Royal Glamorgan Hospital </c:v>
                </c:pt>
                <c:pt idx="16">
                  <c:v>Exeter, Royal Devon and Exeter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0.05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0.16</c:v>
                </c:pt>
                <c:pt idx="16">
                  <c:v>0.18</c:v>
                </c:pt>
                <c:pt idx="17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473792"/>
        <c:axId val="199561600"/>
      </c:barChart>
      <c:catAx>
        <c:axId val="199473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561600"/>
        <c:crosses val="autoZero"/>
        <c:auto val="1"/>
        <c:lblAlgn val="ctr"/>
        <c:lblOffset val="100"/>
        <c:noMultiLvlLbl val="0"/>
      </c:catAx>
      <c:valAx>
        <c:axId val="19956160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4737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Q2'!$J$81:$J$98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Swansea Bay UHB, Morriston / Singleton Hospitals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Plymouth, Derriford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Bristol, Bristol Heart Institute / Bristol Royal Hospital for Children</c:v>
                </c:pt>
                <c:pt idx="17">
                  <c:v>Torquay, Torbay General District Hospital </c:v>
                </c:pt>
              </c:strCache>
            </c:strRef>
          </c:cat>
          <c:val>
            <c:numRef>
              <c:f>'Graph data Q2'!$K$81:$K$98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0.02</c:v>
                </c:pt>
                <c:pt idx="11">
                  <c:v>0.03</c:v>
                </c:pt>
                <c:pt idx="12">
                  <c:v>0.08</c:v>
                </c:pt>
                <c:pt idx="13">
                  <c:v>0.09</c:v>
                </c:pt>
                <c:pt idx="14">
                  <c:v>0.1</c:v>
                </c:pt>
                <c:pt idx="15">
                  <c:v>0.16</c:v>
                </c:pt>
                <c:pt idx="16">
                  <c:v>0.193</c:v>
                </c:pt>
                <c:pt idx="1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594752"/>
        <c:axId val="199596288"/>
      </c:barChart>
      <c:catAx>
        <c:axId val="19959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596288"/>
        <c:crosses val="autoZero"/>
        <c:auto val="1"/>
        <c:lblAlgn val="ctr"/>
        <c:lblOffset val="100"/>
        <c:noMultiLvlLbl val="0"/>
      </c:catAx>
      <c:valAx>
        <c:axId val="19959628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59475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Q2'!$N$81:$N$98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Cardiff &amp; Vale UHB, Noah’s Ark / University Hospital Wales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Plymouth, Derriford Hospital </c:v>
                </c:pt>
                <c:pt idx="12">
                  <c:v>Torquay, Torbay General District Hospital </c:v>
                </c:pt>
                <c:pt idx="13">
                  <c:v>Truro, Royal Cornwall Hospital </c:v>
                </c:pt>
                <c:pt idx="14">
                  <c:v>Barnstaple, North Devon District Hospital </c:v>
                </c:pt>
                <c:pt idx="15">
                  <c:v>Hywel Dda UHB, Glangwilli Hospital</c:v>
                </c:pt>
                <c:pt idx="16">
                  <c:v>Taunton, Musgrove Park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0.02</c:v>
                </c:pt>
                <c:pt idx="15">
                  <c:v>0.1</c:v>
                </c:pt>
                <c:pt idx="16">
                  <c:v>0.13</c:v>
                </c:pt>
                <c:pt idx="1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99628288"/>
        <c:axId val="199643520"/>
      </c:barChart>
      <c:catAx>
        <c:axId val="19962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643520"/>
        <c:crosses val="autoZero"/>
        <c:auto val="1"/>
        <c:lblAlgn val="ctr"/>
        <c:lblOffset val="100"/>
        <c:noMultiLvlLbl val="0"/>
      </c:catAx>
      <c:valAx>
        <c:axId val="19964352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628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0.25</c:v>
                </c:pt>
                <c:pt idx="3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7D-489C-9B6D-E8E4D75266EC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D-489C-9B6D-E8E4D75266EC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7D-489C-9B6D-E8E4D7526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199691264"/>
        <c:axId val="199742208"/>
      </c:stockChart>
      <c:catAx>
        <c:axId val="19969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742208"/>
        <c:crosses val="autoZero"/>
        <c:auto val="1"/>
        <c:lblAlgn val="ctr"/>
        <c:lblOffset val="100"/>
        <c:noMultiLvlLbl val="0"/>
      </c:catAx>
      <c:valAx>
        <c:axId val="1997422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9691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B-4721-AC5E-F5DED18585B0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B-4721-AC5E-F5DED18585B0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9.2999999999999999E-2</c:v>
                </c:pt>
                <c:pt idx="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B-4721-AC5E-F5DED1858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199839104"/>
        <c:axId val="199849088"/>
      </c:stockChart>
      <c:catAx>
        <c:axId val="19983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849088"/>
        <c:crosses val="autoZero"/>
        <c:auto val="1"/>
        <c:lblAlgn val="ctr"/>
        <c:lblOffset val="100"/>
        <c:noMultiLvlLbl val="0"/>
      </c:catAx>
      <c:valAx>
        <c:axId val="1998490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9839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Q3'!$I$10:$I$27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Swansea Bay UHB, Morriston / Singleton Hospitals</c:v>
                </c:pt>
                <c:pt idx="6">
                  <c:v>Aneurin Bevan UHB, Nevill Hall &amp; Royal Gwent Hospitals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Gloucester, Gloucestershire Hospitals</c:v>
                </c:pt>
                <c:pt idx="12">
                  <c:v>Hywel Dda UHB, Glangwilli Hospital</c:v>
                </c:pt>
                <c:pt idx="13">
                  <c:v>Bristol, Bristol Heart Institute / Bristol Royal Hospital for Children</c:v>
                </c:pt>
                <c:pt idx="14">
                  <c:v>Cardiff &amp; Vale UHB, Noah’s Ark / University Hospital Wales</c:v>
                </c:pt>
                <c:pt idx="15">
                  <c:v>Plymouth, Derriford Hospital </c:v>
                </c:pt>
                <c:pt idx="16">
                  <c:v>Torquay, Torbay General District Hospital 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10</c:v>
                </c:pt>
                <c:pt idx="12">
                  <c:v>0</c:v>
                </c:pt>
                <c:pt idx="13">
                  <c:v>12</c:v>
                </c:pt>
                <c:pt idx="14">
                  <c:v>18</c:v>
                </c:pt>
                <c:pt idx="15">
                  <c:v>26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Q3'!$I$10:$I$27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Swansea Bay UHB, Morriston / Singleton Hospitals</c:v>
                </c:pt>
                <c:pt idx="6">
                  <c:v>Aneurin Bevan UHB, Nevill Hall &amp; Royal Gwent Hospitals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Gloucester, Gloucestershire Hospitals</c:v>
                </c:pt>
                <c:pt idx="12">
                  <c:v>Hywel Dda UHB, Glangwilli Hospital</c:v>
                </c:pt>
                <c:pt idx="13">
                  <c:v>Bristol, Bristol Heart Institute / Bristol Royal Hospital for Children</c:v>
                </c:pt>
                <c:pt idx="14">
                  <c:v>Cardiff &amp; Vale UHB, Noah’s Ark / University Hospital Wales</c:v>
                </c:pt>
                <c:pt idx="15">
                  <c:v>Plymouth, Derriford Hospital </c:v>
                </c:pt>
                <c:pt idx="16">
                  <c:v>Torquay, Torbay General District Hospital 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36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0735744"/>
        <c:axId val="200794880"/>
      </c:barChart>
      <c:catAx>
        <c:axId val="200735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0794880"/>
        <c:crosses val="autoZero"/>
        <c:auto val="1"/>
        <c:lblAlgn val="ctr"/>
        <c:lblOffset val="100"/>
        <c:noMultiLvlLbl val="0"/>
      </c:catAx>
      <c:valAx>
        <c:axId val="20079488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073574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Cardiff &amp; Vale UHB, Noah’s Ark / University Hospital Wales</c:v>
                </c:pt>
                <c:pt idx="3">
                  <c:v>Torquay, Torbay General District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Exeter, Royal Devon and Exeter Hospital </c:v>
                </c:pt>
                <c:pt idx="8">
                  <c:v>Cwm Taf Morgannwg UHB, Prince Charles Hospital</c:v>
                </c:pt>
                <c:pt idx="9">
                  <c:v>Gloucester, Gloucestershire Hospitals</c:v>
                </c:pt>
                <c:pt idx="10">
                  <c:v>Swansea Bay UHB, Morriston / Singleton Hospitals</c:v>
                </c:pt>
                <c:pt idx="11">
                  <c:v>Cwm Taf Morgannwg UHB, Royal Glamorgan Hospital </c:v>
                </c:pt>
                <c:pt idx="12">
                  <c:v>Bath, Royal United Hospital </c:v>
                </c:pt>
                <c:pt idx="13">
                  <c:v>Aneurin Bevan UHB, Nevill Hall &amp; Royal Gwent Hospitals</c:v>
                </c:pt>
                <c:pt idx="14">
                  <c:v>Hywel Dda UHB, Glangwilli Hospital</c:v>
                </c:pt>
                <c:pt idx="15">
                  <c:v>Taunton, Musgrove Park Hospital </c:v>
                </c:pt>
                <c:pt idx="16">
                  <c:v>Hywel Dda UHB, Withybush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 formatCode="0">
                  <c:v>0</c:v>
                </c:pt>
                <c:pt idx="3" formatCode="0">
                  <c:v>4</c:v>
                </c:pt>
                <c:pt idx="4" formatCode="0">
                  <c:v>4</c:v>
                </c:pt>
                <c:pt idx="5" formatCode="0">
                  <c:v>7</c:v>
                </c:pt>
                <c:pt idx="6" formatCode="0">
                  <c:v>9</c:v>
                </c:pt>
                <c:pt idx="7" formatCode="0">
                  <c:v>9</c:v>
                </c:pt>
                <c:pt idx="8" formatCode="0">
                  <c:v>11.96</c:v>
                </c:pt>
                <c:pt idx="9" formatCode="0">
                  <c:v>11</c:v>
                </c:pt>
                <c:pt idx="10" formatCode="0">
                  <c:v>11</c:v>
                </c:pt>
                <c:pt idx="11" formatCode="0">
                  <c:v>10.97</c:v>
                </c:pt>
                <c:pt idx="12" formatCode="0">
                  <c:v>24</c:v>
                </c:pt>
                <c:pt idx="13" formatCode="0">
                  <c:v>21</c:v>
                </c:pt>
                <c:pt idx="14" formatCode="0">
                  <c:v>35</c:v>
                </c:pt>
                <c:pt idx="15" formatCode="0">
                  <c:v>43</c:v>
                </c:pt>
                <c:pt idx="16" formatCode="0">
                  <c:v>24</c:v>
                </c:pt>
                <c:pt idx="17" formatCode="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Cardiff &amp; Vale UHB, Noah’s Ark / University Hospital Wales</c:v>
                </c:pt>
                <c:pt idx="3">
                  <c:v>Torquay, Torbay General District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Exeter, Royal Devon and Exeter Hospital </c:v>
                </c:pt>
                <c:pt idx="8">
                  <c:v>Cwm Taf Morgannwg UHB, Prince Charles Hospital</c:v>
                </c:pt>
                <c:pt idx="9">
                  <c:v>Gloucester, Gloucestershire Hospitals</c:v>
                </c:pt>
                <c:pt idx="10">
                  <c:v>Swansea Bay UHB, Morriston / Singleton Hospitals</c:v>
                </c:pt>
                <c:pt idx="11">
                  <c:v>Cwm Taf Morgannwg UHB, Royal Glamorgan Hospital </c:v>
                </c:pt>
                <c:pt idx="12">
                  <c:v>Bath, Royal United Hospital </c:v>
                </c:pt>
                <c:pt idx="13">
                  <c:v>Aneurin Bevan UHB, Nevill Hall &amp; Royal Gwent Hospitals</c:v>
                </c:pt>
                <c:pt idx="14">
                  <c:v>Hywel Dda UHB, Glangwilli Hospital</c:v>
                </c:pt>
                <c:pt idx="15">
                  <c:v>Taunton, Musgrove Park Hospital </c:v>
                </c:pt>
                <c:pt idx="16">
                  <c:v>Hywel Dda UHB, Withybush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 formatCode="0">
                  <c:v>0</c:v>
                </c:pt>
                <c:pt idx="3" formatCode="0">
                  <c:v>5</c:v>
                </c:pt>
                <c:pt idx="4" formatCode="0">
                  <c:v>8</c:v>
                </c:pt>
                <c:pt idx="5" formatCode="0">
                  <c:v>8</c:v>
                </c:pt>
                <c:pt idx="6" formatCode="0">
                  <c:v>8</c:v>
                </c:pt>
                <c:pt idx="7" formatCode="0">
                  <c:v>12</c:v>
                </c:pt>
                <c:pt idx="8" formatCode="0">
                  <c:v>14.6</c:v>
                </c:pt>
                <c:pt idx="9" formatCode="0">
                  <c:v>15</c:v>
                </c:pt>
                <c:pt idx="10" formatCode="0">
                  <c:v>17</c:v>
                </c:pt>
                <c:pt idx="11" formatCode="0">
                  <c:v>24</c:v>
                </c:pt>
                <c:pt idx="12" formatCode="0">
                  <c:v>8</c:v>
                </c:pt>
                <c:pt idx="13" formatCode="0">
                  <c:v>25</c:v>
                </c:pt>
                <c:pt idx="14" formatCode="0">
                  <c:v>38</c:v>
                </c:pt>
                <c:pt idx="15" formatCode="0">
                  <c:v>43</c:v>
                </c:pt>
                <c:pt idx="16" formatCode="0">
                  <c:v>48</c:v>
                </c:pt>
                <c:pt idx="1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1166208"/>
        <c:axId val="201176192"/>
      </c:barChart>
      <c:catAx>
        <c:axId val="201166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1176192"/>
        <c:crosses val="autoZero"/>
        <c:auto val="1"/>
        <c:lblAlgn val="ctr"/>
        <c:lblOffset val="100"/>
        <c:noMultiLvlLbl val="0"/>
      </c:catAx>
      <c:valAx>
        <c:axId val="20117619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116620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Cardiff &amp; Vale UHB, Noah’s Ark / University Hospital Wales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Q3'!$J$36:$J$53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13</c:v>
                </c:pt>
                <c:pt idx="13">
                  <c:v>8</c:v>
                </c:pt>
                <c:pt idx="14">
                  <c:v>29</c:v>
                </c:pt>
                <c:pt idx="15">
                  <c:v>126</c:v>
                </c:pt>
                <c:pt idx="16">
                  <c:v>258</c:v>
                </c:pt>
                <c:pt idx="17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Cardiff &amp; Vale UHB, Noah’s Ark / University Hospital Wales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Q3'!$K$36:$K$53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28</c:v>
                </c:pt>
                <c:pt idx="14">
                  <c:v>59</c:v>
                </c:pt>
                <c:pt idx="15">
                  <c:v>100</c:v>
                </c:pt>
                <c:pt idx="16">
                  <c:v>195</c:v>
                </c:pt>
                <c:pt idx="17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Cardiff &amp; Vale UHB, Noah’s Ark / University Hospital Wales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Q3'!$L$36:$L$53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28</c:v>
                </c:pt>
                <c:pt idx="15">
                  <c:v>58</c:v>
                </c:pt>
                <c:pt idx="16">
                  <c:v>66</c:v>
                </c:pt>
                <c:pt idx="17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1630848"/>
        <c:axId val="201632384"/>
      </c:barChart>
      <c:catAx>
        <c:axId val="201630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1632384"/>
        <c:crosses val="autoZero"/>
        <c:auto val="1"/>
        <c:lblAlgn val="ctr"/>
        <c:lblOffset val="100"/>
        <c:noMultiLvlLbl val="0"/>
      </c:catAx>
      <c:valAx>
        <c:axId val="20163238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163084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Bristol, Bristol Heart Institute / Bristol Royal Hospital for Children</c:v>
                </c:pt>
                <c:pt idx="10">
                  <c:v>Plymouth, Derriford Hospital </c:v>
                </c:pt>
                <c:pt idx="11">
                  <c:v>Aneurin Bevan UHB, Nevill Hall &amp; Royal Gwent Hospitals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Gloucester, Gloucestershire Hospitals</c:v>
                </c:pt>
                <c:pt idx="15">
                  <c:v>Swansea Bay UHB, Morriston / Singleton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36</c:v>
                </c:pt>
                <c:pt idx="1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Bristol, Bristol Heart Institute / Bristol Royal Hospital for Children</c:v>
                </c:pt>
                <c:pt idx="10">
                  <c:v>Plymouth, Derriford Hospital </c:v>
                </c:pt>
                <c:pt idx="11">
                  <c:v>Aneurin Bevan UHB, Nevill Hall &amp; Royal Gwent Hospitals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Gloucester, Gloucestershire Hospitals</c:v>
                </c:pt>
                <c:pt idx="15">
                  <c:v>Swansea Bay UHB, Morriston / Singleton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16</c:v>
                </c:pt>
                <c:pt idx="14">
                  <c:v>28</c:v>
                </c:pt>
                <c:pt idx="15">
                  <c:v>34</c:v>
                </c:pt>
                <c:pt idx="16">
                  <c:v>80</c:v>
                </c:pt>
                <c:pt idx="1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Bristol, Bristol Heart Institute / Bristol Royal Hospital for Children</c:v>
                </c:pt>
                <c:pt idx="10">
                  <c:v>Plymouth, Derriford Hospital </c:v>
                </c:pt>
                <c:pt idx="11">
                  <c:v>Aneurin Bevan UHB, Nevill Hall &amp; Royal Gwent Hospitals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Gloucester, Gloucestershire Hospitals</c:v>
                </c:pt>
                <c:pt idx="15">
                  <c:v>Swansea Bay UHB, Morriston / Singleton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64</c:v>
                </c:pt>
                <c:pt idx="16">
                  <c:v>10</c:v>
                </c:pt>
                <c:pt idx="1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1931392"/>
        <c:axId val="201945472"/>
      </c:barChart>
      <c:catAx>
        <c:axId val="201931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1945472"/>
        <c:crosses val="autoZero"/>
        <c:auto val="1"/>
        <c:lblAlgn val="ctr"/>
        <c:lblOffset val="100"/>
        <c:noMultiLvlLbl val="0"/>
      </c:catAx>
      <c:valAx>
        <c:axId val="2019454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193139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Hywel Dda UHB, Glangwilli Hospital</c:v>
                </c:pt>
                <c:pt idx="5">
                  <c:v>Swansea Bay UHB, Morriston / Singleton Hospitals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Bath, Royal United Hospital </c:v>
                </c:pt>
                <c:pt idx="11">
                  <c:v>Cwm Taf Morgannwg UHB, Prince Charles Hospital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8</c:v>
                </c:pt>
                <c:pt idx="11">
                  <c:v>1</c:v>
                </c:pt>
                <c:pt idx="12">
                  <c:v>12</c:v>
                </c:pt>
                <c:pt idx="13">
                  <c:v>46</c:v>
                </c:pt>
                <c:pt idx="14">
                  <c:v>47</c:v>
                </c:pt>
                <c:pt idx="15">
                  <c:v>28</c:v>
                </c:pt>
                <c:pt idx="16">
                  <c:v>242</c:v>
                </c:pt>
                <c:pt idx="17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Hywel Dda UHB, Glangwilli Hospital</c:v>
                </c:pt>
                <c:pt idx="5">
                  <c:v>Swansea Bay UHB, Morriston / Singleton Hospitals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Bath, Royal United Hospital </c:v>
                </c:pt>
                <c:pt idx="11">
                  <c:v>Cwm Taf Morgannwg UHB, Prince Charles Hospital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22</c:v>
                </c:pt>
                <c:pt idx="15">
                  <c:v>108</c:v>
                </c:pt>
                <c:pt idx="16">
                  <c:v>208</c:v>
                </c:pt>
                <c:pt idx="17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Hywel Dda UHB, Glangwilli Hospital</c:v>
                </c:pt>
                <c:pt idx="5">
                  <c:v>Swansea Bay UHB, Morriston / Singleton Hospitals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Bath, Royal United Hospital </c:v>
                </c:pt>
                <c:pt idx="11">
                  <c:v>Cwm Taf Morgannwg UHB, Prince Charles Hospital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65</c:v>
                </c:pt>
                <c:pt idx="15">
                  <c:v>176</c:v>
                </c:pt>
                <c:pt idx="16">
                  <c:v>185</c:v>
                </c:pt>
                <c:pt idx="17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2297728"/>
        <c:axId val="202299264"/>
      </c:barChart>
      <c:catAx>
        <c:axId val="202297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2299264"/>
        <c:crosses val="autoZero"/>
        <c:auto val="1"/>
        <c:lblAlgn val="ctr"/>
        <c:lblOffset val="100"/>
        <c:noMultiLvlLbl val="0"/>
      </c:catAx>
      <c:valAx>
        <c:axId val="202299264"/>
        <c:scaling>
          <c:orientation val="minMax"/>
          <c:max val="8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22977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Hywel Dda UHB, Glangwilli Hospital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 / Bristol Royal Hospital for Children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Q1'!$J$36:$J$53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43</c:v>
                </c:pt>
                <c:pt idx="14">
                  <c:v>67</c:v>
                </c:pt>
                <c:pt idx="15">
                  <c:v>31</c:v>
                </c:pt>
                <c:pt idx="16">
                  <c:v>37</c:v>
                </c:pt>
                <c:pt idx="1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Hywel Dda UHB, Glangwilli Hospital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 / Bristol Royal Hospital for Children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Q1'!$K$36:$K$53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54</c:v>
                </c:pt>
                <c:pt idx="13">
                  <c:v>31</c:v>
                </c:pt>
                <c:pt idx="14">
                  <c:v>47</c:v>
                </c:pt>
                <c:pt idx="15">
                  <c:v>69</c:v>
                </c:pt>
                <c:pt idx="16">
                  <c:v>79</c:v>
                </c:pt>
                <c:pt idx="17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Hywel Dda UHB, Glangwilli Hospital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 / Bristol Royal Hospital for Children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Q1'!$L$36:$L$53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42</c:v>
                </c:pt>
                <c:pt idx="16">
                  <c:v>28</c:v>
                </c:pt>
                <c:pt idx="17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817280"/>
        <c:axId val="244827264"/>
      </c:barChart>
      <c:catAx>
        <c:axId val="244817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827264"/>
        <c:crosses val="autoZero"/>
        <c:auto val="1"/>
        <c:lblAlgn val="ctr"/>
        <c:lblOffset val="100"/>
        <c:noMultiLvlLbl val="0"/>
      </c:catAx>
      <c:valAx>
        <c:axId val="24482726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8172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20467966273801"/>
          <c:y val="0.11126584326064609"/>
          <c:w val="0.77412461668457022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Cwm Taf Morgannwg UHB, Royal Glamorgan Hospital 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Hywel Dda UHB, Withybush Hospital</c:v>
                </c:pt>
                <c:pt idx="9">
                  <c:v>Hywel Dda UHB, Glangwilli Hospital</c:v>
                </c:pt>
                <c:pt idx="10">
                  <c:v>Truro, Royal Cornwall Hospital 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Cwm Taf Morgannwg UHB, Princess of Wales Hospital</c:v>
                </c:pt>
                <c:pt idx="14">
                  <c:v>Taunton, Musgrove Park Hospital 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19</c:v>
                </c:pt>
                <c:pt idx="7">
                  <c:v>20</c:v>
                </c:pt>
                <c:pt idx="8">
                  <c:v>12</c:v>
                </c:pt>
                <c:pt idx="9">
                  <c:v>20</c:v>
                </c:pt>
                <c:pt idx="10">
                  <c:v>31</c:v>
                </c:pt>
                <c:pt idx="11">
                  <c:v>22</c:v>
                </c:pt>
                <c:pt idx="12">
                  <c:v>39</c:v>
                </c:pt>
                <c:pt idx="13">
                  <c:v>40</c:v>
                </c:pt>
                <c:pt idx="14">
                  <c:v>25</c:v>
                </c:pt>
                <c:pt idx="15">
                  <c:v>28</c:v>
                </c:pt>
                <c:pt idx="16">
                  <c:v>47</c:v>
                </c:pt>
                <c:pt idx="1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Cwm Taf Morgannwg UHB, Royal Glamorgan Hospital 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Hywel Dda UHB, Withybush Hospital</c:v>
                </c:pt>
                <c:pt idx="9">
                  <c:v>Hywel Dda UHB, Glangwilli Hospital</c:v>
                </c:pt>
                <c:pt idx="10">
                  <c:v>Truro, Royal Cornwall Hospital 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Cwm Taf Morgannwg UHB, Princess of Wales Hospital</c:v>
                </c:pt>
                <c:pt idx="14">
                  <c:v>Taunton, Musgrove Park Hospital 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12</c:v>
                </c:pt>
                <c:pt idx="12">
                  <c:v>4</c:v>
                </c:pt>
                <c:pt idx="13">
                  <c:v>20</c:v>
                </c:pt>
                <c:pt idx="14">
                  <c:v>32</c:v>
                </c:pt>
                <c:pt idx="15">
                  <c:v>25</c:v>
                </c:pt>
                <c:pt idx="16">
                  <c:v>54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Cwm Taf Morgannwg UHB, Royal Glamorgan Hospital 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Hywel Dda UHB, Withybush Hospital</c:v>
                </c:pt>
                <c:pt idx="9">
                  <c:v>Hywel Dda UHB, Glangwilli Hospital</c:v>
                </c:pt>
                <c:pt idx="10">
                  <c:v>Truro, Royal Cornwall Hospital 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Cwm Taf Morgannwg UHB, Princess of Wales Hospital</c:v>
                </c:pt>
                <c:pt idx="14">
                  <c:v>Taunton, Musgrove Park Hospital 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11</c:v>
                </c:pt>
                <c:pt idx="15">
                  <c:v>40</c:v>
                </c:pt>
                <c:pt idx="16">
                  <c:v>17</c:v>
                </c:pt>
                <c:pt idx="1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3110272"/>
        <c:axId val="203111808"/>
      </c:barChart>
      <c:catAx>
        <c:axId val="203110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111808"/>
        <c:crosses val="autoZero"/>
        <c:auto val="1"/>
        <c:lblAlgn val="ctr"/>
        <c:lblOffset val="100"/>
        <c:noMultiLvlLbl val="0"/>
      </c:catAx>
      <c:valAx>
        <c:axId val="203111808"/>
        <c:scaling>
          <c:orientation val="minMax"/>
          <c:max val="8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03110272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Swansea Bay UHB, Morriston / Singleton Hospitals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Torquay, Torbay General District Hospital </c:v>
                </c:pt>
                <c:pt idx="6">
                  <c:v>Cardiff &amp; Vale UHB, Noah’s Ark / University Hospital Wales</c:v>
                </c:pt>
                <c:pt idx="7">
                  <c:v>Bath, Royal United Hospital </c:v>
                </c:pt>
                <c:pt idx="8">
                  <c:v>Swindon, Great Weston Hospital </c:v>
                </c:pt>
                <c:pt idx="9">
                  <c:v>Taunton, Musgrove Park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Aneurin Bevan UHB, Nevill Hall &amp; Royal Gwent Hospitals</c:v>
                </c:pt>
                <c:pt idx="13">
                  <c:v>Truro, Royal Cornwall Hospital </c:v>
                </c:pt>
                <c:pt idx="14">
                  <c:v>Gloucester, Gloucestershire Hospitals</c:v>
                </c:pt>
                <c:pt idx="15">
                  <c:v>Cwm Taf Morgannwg UHB, Princess of Wales Hospital</c:v>
                </c:pt>
                <c:pt idx="16">
                  <c:v>Cwm Taf Morgannwg UHB, Royal Glamorgan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0.08</c:v>
                </c:pt>
                <c:pt idx="10">
                  <c:v>0.09</c:v>
                </c:pt>
                <c:pt idx="11">
                  <c:v>0.09</c:v>
                </c:pt>
                <c:pt idx="12">
                  <c:v>0.105</c:v>
                </c:pt>
                <c:pt idx="13">
                  <c:v>0.11</c:v>
                </c:pt>
                <c:pt idx="14">
                  <c:v>0.15</c:v>
                </c:pt>
                <c:pt idx="15">
                  <c:v>0.2</c:v>
                </c:pt>
                <c:pt idx="16">
                  <c:v>0.27</c:v>
                </c:pt>
                <c:pt idx="1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174272"/>
        <c:axId val="203175808"/>
      </c:barChart>
      <c:catAx>
        <c:axId val="203174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175808"/>
        <c:crosses val="autoZero"/>
        <c:auto val="1"/>
        <c:lblAlgn val="ctr"/>
        <c:lblOffset val="100"/>
        <c:noMultiLvlLbl val="0"/>
      </c:catAx>
      <c:valAx>
        <c:axId val="203175808"/>
        <c:scaling>
          <c:orientation val="minMax"/>
          <c:max val="0.4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17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Swansea Bay UHB, Morriston / Singleton Hospitals</c:v>
                </c:pt>
                <c:pt idx="3">
                  <c:v>Cardiff &amp; Vale UHB, Noah’s Ark / University Hospital Wales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Bristol, Bristol Heart Institute / Bristol Royal Hospital for Children</c:v>
                </c:pt>
                <c:pt idx="7">
                  <c:v>Torquay, Torbay General District Hospital </c:v>
                </c:pt>
                <c:pt idx="8">
                  <c:v>Cwm Taf Morgannwg UHB, Royal Glamorgan Hospital </c:v>
                </c:pt>
                <c:pt idx="9">
                  <c:v>Truro, Royal Cornwall Hospital </c:v>
                </c:pt>
                <c:pt idx="10">
                  <c:v>Cwm Taf Morgannwg UHB, Princess of Wales Hospital</c:v>
                </c:pt>
                <c:pt idx="11">
                  <c:v>Swindon, Great Weston Hospital </c:v>
                </c:pt>
                <c:pt idx="12">
                  <c:v>Exeter, Royal Devon and Exeter Hospital </c:v>
                </c:pt>
                <c:pt idx="13">
                  <c:v>Bath, Royal United Hospital </c:v>
                </c:pt>
                <c:pt idx="14">
                  <c:v>Aneurin Bevan UHB, Nevill Hall &amp; Royal Gwent Hospitals</c:v>
                </c:pt>
                <c:pt idx="15">
                  <c:v>Taunton, Musgrove Park Hospital </c:v>
                </c:pt>
                <c:pt idx="16">
                  <c:v>Gloucester, Gloucestershire Hospitals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0.04</c:v>
                </c:pt>
                <c:pt idx="9">
                  <c:v>0.04</c:v>
                </c:pt>
                <c:pt idx="10">
                  <c:v>0.05</c:v>
                </c:pt>
                <c:pt idx="11">
                  <c:v>0.05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0.13</c:v>
                </c:pt>
                <c:pt idx="17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237632"/>
        <c:axId val="203243520"/>
      </c:barChart>
      <c:catAx>
        <c:axId val="203237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243520"/>
        <c:crosses val="autoZero"/>
        <c:auto val="1"/>
        <c:lblAlgn val="ctr"/>
        <c:lblOffset val="100"/>
        <c:noMultiLvlLbl val="0"/>
      </c:catAx>
      <c:valAx>
        <c:axId val="203243520"/>
        <c:scaling>
          <c:orientation val="minMax"/>
          <c:max val="0.4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2376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Q3'!$J$81:$J$98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Cwm Taf Morgannwg UHB, Princess of Wales Hospital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Cwm Taf Morgannwg UHB, Royal Glamorgan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Torquay, Torbay General District Hospital </c:v>
                </c:pt>
                <c:pt idx="15">
                  <c:v>Bristol, Bristol Heart Institute / Bristol Royal Hospital for Children</c:v>
                </c:pt>
                <c:pt idx="16">
                  <c:v>Cardiff &amp; Vale UHB, Noah’s Ark / University Hospital Wales</c:v>
                </c:pt>
                <c:pt idx="17">
                  <c:v>Taunton, Musgrove Park Hospital </c:v>
                </c:pt>
              </c:strCache>
            </c:strRef>
          </c:cat>
          <c:val>
            <c:numRef>
              <c:f>'Graph data Q3'!$K$81:$K$98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0.06</c:v>
                </c:pt>
                <c:pt idx="13">
                  <c:v>0.08</c:v>
                </c:pt>
                <c:pt idx="14">
                  <c:v>0.1</c:v>
                </c:pt>
                <c:pt idx="15">
                  <c:v>0.12</c:v>
                </c:pt>
                <c:pt idx="16">
                  <c:v>0.14000000000000001</c:v>
                </c:pt>
                <c:pt idx="1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256192"/>
        <c:axId val="203257728"/>
      </c:barChart>
      <c:catAx>
        <c:axId val="203256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257728"/>
        <c:crosses val="autoZero"/>
        <c:auto val="1"/>
        <c:lblAlgn val="ctr"/>
        <c:lblOffset val="100"/>
        <c:noMultiLvlLbl val="0"/>
      </c:catAx>
      <c:valAx>
        <c:axId val="203257728"/>
        <c:scaling>
          <c:orientation val="minMax"/>
          <c:max val="0.4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25619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Q3'!$N$81:$N$98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Bristol, Bristol Heart Institute / Bristol Royal Hospital for Children</c:v>
                </c:pt>
                <c:pt idx="6">
                  <c:v>Cardiff &amp; Vale UHB, Noah’s Ark / University Hospital Wales</c:v>
                </c:pt>
                <c:pt idx="7">
                  <c:v>Cwm Taf Morgannwg UHB, Prince Charles Hospital</c:v>
                </c:pt>
                <c:pt idx="8">
                  <c:v>Swansea Bay UHB, Morriston / Singleton Hospitals</c:v>
                </c:pt>
                <c:pt idx="9">
                  <c:v>Plymouth, Derriford Hospital </c:v>
                </c:pt>
                <c:pt idx="10">
                  <c:v>Cwm Taf Morgannwg UHB, Royal Glamorgan Hospital </c:v>
                </c:pt>
                <c:pt idx="11">
                  <c:v>Gloucester, Gloucestershire Hospitals</c:v>
                </c:pt>
                <c:pt idx="12">
                  <c:v>Hywel Dda UHB, Glangwilli Hospital</c:v>
                </c:pt>
                <c:pt idx="13">
                  <c:v>Aneurin Bevan UHB, Nevill Hall &amp; Royal Gwent Hospitals</c:v>
                </c:pt>
                <c:pt idx="14">
                  <c:v>Cwm Taf Morgannwg UHB, Princess of Wales Hospital</c:v>
                </c:pt>
                <c:pt idx="15">
                  <c:v>Torquay, Torbay General District Hospital </c:v>
                </c:pt>
                <c:pt idx="16">
                  <c:v>Taunton, Musgrove Park Hospital 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Q3'!$O$81:$O$98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0.03</c:v>
                </c:pt>
                <c:pt idx="11">
                  <c:v>0.06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0.11</c:v>
                </c:pt>
                <c:pt idx="16">
                  <c:v>0.13</c:v>
                </c:pt>
                <c:pt idx="1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03400320"/>
        <c:axId val="203403264"/>
      </c:barChart>
      <c:catAx>
        <c:axId val="20340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403264"/>
        <c:crosses val="autoZero"/>
        <c:auto val="1"/>
        <c:lblAlgn val="ctr"/>
        <c:lblOffset val="100"/>
        <c:noMultiLvlLbl val="0"/>
      </c:catAx>
      <c:valAx>
        <c:axId val="203403264"/>
        <c:scaling>
          <c:orientation val="minMax"/>
          <c:max val="0.4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4003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0.25</c:v>
                </c:pt>
                <c:pt idx="3">
                  <c:v>0.16</c:v>
                </c:pt>
                <c:pt idx="4">
                  <c:v>0.19</c:v>
                </c:pt>
                <c:pt idx="5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09-4CAF-8802-8B4C2BE3565C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9-4CAF-8802-8B4C2BE3565C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0.02</c:v>
                </c:pt>
                <c:pt idx="5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09-4CAF-8802-8B4C2BE35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03442816"/>
        <c:axId val="203452800"/>
      </c:stockChart>
      <c:catAx>
        <c:axId val="203442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3452800"/>
        <c:crosses val="autoZero"/>
        <c:auto val="1"/>
        <c:lblAlgn val="ctr"/>
        <c:lblOffset val="100"/>
        <c:noMultiLvlLbl val="0"/>
      </c:catAx>
      <c:valAx>
        <c:axId val="2034528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03442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0.26</c:v>
                </c:pt>
                <c:pt idx="4">
                  <c:v>0.4</c:v>
                </c:pt>
                <c:pt idx="5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1-4B86-B21F-3927E7B4825A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1-4B86-B21F-3927E7B4825A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9.2999999999999999E-2</c:v>
                </c:pt>
                <c:pt idx="3">
                  <c:v>0.05</c:v>
                </c:pt>
                <c:pt idx="4">
                  <c:v>0.09</c:v>
                </c:pt>
                <c:pt idx="5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1-4B86-B21F-3927E7B48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03488256"/>
        <c:axId val="203506432"/>
      </c:stockChart>
      <c:catAx>
        <c:axId val="20348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3506432"/>
        <c:crosses val="autoZero"/>
        <c:auto val="1"/>
        <c:lblAlgn val="ctr"/>
        <c:lblOffset val="100"/>
        <c:noMultiLvlLbl val="0"/>
      </c:catAx>
      <c:valAx>
        <c:axId val="2035064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3488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3745920"/>
        <c:axId val="203768192"/>
      </c:barChart>
      <c:catAx>
        <c:axId val="203745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3768192"/>
        <c:crosses val="autoZero"/>
        <c:auto val="1"/>
        <c:lblAlgn val="ctr"/>
        <c:lblOffset val="100"/>
        <c:noMultiLvlLbl val="0"/>
      </c:catAx>
      <c:valAx>
        <c:axId val="20376819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374592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3832320"/>
        <c:axId val="204014336"/>
      </c:barChart>
      <c:catAx>
        <c:axId val="20383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4014336"/>
        <c:crosses val="autoZero"/>
        <c:auto val="1"/>
        <c:lblAlgn val="ctr"/>
        <c:lblOffset val="100"/>
        <c:noMultiLvlLbl val="0"/>
      </c:catAx>
      <c:valAx>
        <c:axId val="20401433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38323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6893824"/>
        <c:axId val="206895360"/>
      </c:barChart>
      <c:catAx>
        <c:axId val="206893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895360"/>
        <c:crosses val="autoZero"/>
        <c:auto val="1"/>
        <c:lblAlgn val="ctr"/>
        <c:lblOffset val="100"/>
        <c:noMultiLvlLbl val="0"/>
      </c:catAx>
      <c:valAx>
        <c:axId val="2068953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6893824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14</c:v>
                </c:pt>
                <c:pt idx="15">
                  <c:v>0</c:v>
                </c:pt>
                <c:pt idx="16">
                  <c:v>58</c:v>
                </c:pt>
                <c:pt idx="1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54</c:v>
                </c:pt>
                <c:pt idx="16">
                  <c:v>29</c:v>
                </c:pt>
                <c:pt idx="17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044288"/>
        <c:axId val="178062464"/>
      </c:barChart>
      <c:catAx>
        <c:axId val="178044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062464"/>
        <c:crosses val="autoZero"/>
        <c:auto val="1"/>
        <c:lblAlgn val="ctr"/>
        <c:lblOffset val="100"/>
        <c:noMultiLvlLbl val="0"/>
      </c:catAx>
      <c:valAx>
        <c:axId val="17806246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78044288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6944512"/>
        <c:axId val="206954496"/>
      </c:barChart>
      <c:catAx>
        <c:axId val="206944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954496"/>
        <c:crosses val="autoZero"/>
        <c:auto val="1"/>
        <c:lblAlgn val="ctr"/>
        <c:lblOffset val="100"/>
        <c:noMultiLvlLbl val="0"/>
      </c:catAx>
      <c:valAx>
        <c:axId val="20695449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694451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7003648"/>
        <c:axId val="207005184"/>
      </c:barChart>
      <c:catAx>
        <c:axId val="207003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7005184"/>
        <c:crosses val="autoZero"/>
        <c:auto val="1"/>
        <c:lblAlgn val="ctr"/>
        <c:lblOffset val="100"/>
        <c:noMultiLvlLbl val="0"/>
      </c:catAx>
      <c:valAx>
        <c:axId val="20700518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700364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7054336"/>
        <c:axId val="207055872"/>
      </c:barChart>
      <c:catAx>
        <c:axId val="207054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7055872"/>
        <c:crosses val="autoZero"/>
        <c:auto val="1"/>
        <c:lblAlgn val="ctr"/>
        <c:lblOffset val="100"/>
        <c:noMultiLvlLbl val="0"/>
      </c:catAx>
      <c:valAx>
        <c:axId val="2070558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0705433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625728"/>
        <c:axId val="215627264"/>
      </c:barChart>
      <c:catAx>
        <c:axId val="2156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627264"/>
        <c:crosses val="autoZero"/>
        <c:auto val="1"/>
        <c:lblAlgn val="ctr"/>
        <c:lblOffset val="100"/>
        <c:noMultiLvlLbl val="0"/>
      </c:catAx>
      <c:valAx>
        <c:axId val="2156272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62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652224"/>
        <c:axId val="215653760"/>
      </c:barChart>
      <c:catAx>
        <c:axId val="215652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653760"/>
        <c:crosses val="autoZero"/>
        <c:auto val="1"/>
        <c:lblAlgn val="ctr"/>
        <c:lblOffset val="100"/>
        <c:noMultiLvlLbl val="0"/>
      </c:catAx>
      <c:valAx>
        <c:axId val="21565376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6522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891968"/>
        <c:axId val="215893504"/>
      </c:barChart>
      <c:catAx>
        <c:axId val="215891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893504"/>
        <c:crosses val="autoZero"/>
        <c:auto val="1"/>
        <c:lblAlgn val="ctr"/>
        <c:lblOffset val="100"/>
        <c:noMultiLvlLbl val="0"/>
      </c:catAx>
      <c:valAx>
        <c:axId val="21589350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8919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15925504"/>
        <c:axId val="215928192"/>
      </c:barChart>
      <c:catAx>
        <c:axId val="215925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928192"/>
        <c:crosses val="autoZero"/>
        <c:auto val="1"/>
        <c:lblAlgn val="ctr"/>
        <c:lblOffset val="100"/>
        <c:noMultiLvlLbl val="0"/>
      </c:catAx>
      <c:valAx>
        <c:axId val="2159281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9255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2-4448-BE84-6CCAE7DE3115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2-4448-BE84-6CCAE7DE3115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2-4448-BE84-6CCAE7DE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93984"/>
        <c:axId val="241995776"/>
      </c:stockChart>
      <c:catAx>
        <c:axId val="241993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5776"/>
        <c:crosses val="autoZero"/>
        <c:auto val="1"/>
        <c:lblAlgn val="ctr"/>
        <c:lblOffset val="100"/>
        <c:noMultiLvlLbl val="0"/>
      </c:catAx>
      <c:valAx>
        <c:axId val="2419957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93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A-40A0-93DF-7058A687E25D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A-40A0-93DF-7058A687E25D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A-40A0-93DF-7058A687E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014848"/>
        <c:axId val="242094464"/>
      </c:stockChart>
      <c:catAx>
        <c:axId val="24201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094464"/>
        <c:crosses val="autoZero"/>
        <c:auto val="1"/>
        <c:lblAlgn val="ctr"/>
        <c:lblOffset val="100"/>
        <c:noMultiLvlLbl val="0"/>
      </c:catAx>
      <c:valAx>
        <c:axId val="2420944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014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105792"/>
        <c:axId val="243107328"/>
      </c:barChart>
      <c:catAx>
        <c:axId val="2431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107328"/>
        <c:crosses val="autoZero"/>
        <c:auto val="1"/>
        <c:lblAlgn val="ctr"/>
        <c:lblOffset val="100"/>
        <c:noMultiLvlLbl val="0"/>
      </c:catAx>
      <c:valAx>
        <c:axId val="2431073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105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Bath, Royal United Hospital </c:v>
                </c:pt>
                <c:pt idx="6">
                  <c:v>Hywel Dda UHB, Withybush Hospital</c:v>
                </c:pt>
                <c:pt idx="7">
                  <c:v>Torquay, Torbay General District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11</c:v>
                </c:pt>
                <c:pt idx="11">
                  <c:v>12</c:v>
                </c:pt>
                <c:pt idx="12">
                  <c:v>27</c:v>
                </c:pt>
                <c:pt idx="13">
                  <c:v>44</c:v>
                </c:pt>
                <c:pt idx="14">
                  <c:v>79</c:v>
                </c:pt>
                <c:pt idx="15">
                  <c:v>41</c:v>
                </c:pt>
                <c:pt idx="16">
                  <c:v>113</c:v>
                </c:pt>
                <c:pt idx="17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Bath, Royal United Hospital </c:v>
                </c:pt>
                <c:pt idx="6">
                  <c:v>Hywel Dda UHB, Withybush Hospital</c:v>
                </c:pt>
                <c:pt idx="7">
                  <c:v>Torquay, Torbay General District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12</c:v>
                </c:pt>
                <c:pt idx="11">
                  <c:v>10</c:v>
                </c:pt>
                <c:pt idx="12">
                  <c:v>1</c:v>
                </c:pt>
                <c:pt idx="13">
                  <c:v>63</c:v>
                </c:pt>
                <c:pt idx="14">
                  <c:v>72</c:v>
                </c:pt>
                <c:pt idx="15">
                  <c:v>114</c:v>
                </c:pt>
                <c:pt idx="16">
                  <c:v>59</c:v>
                </c:pt>
                <c:pt idx="17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Bath, Royal United Hospital </c:v>
                </c:pt>
                <c:pt idx="6">
                  <c:v>Hywel Dda UHB, Withybush Hospital</c:v>
                </c:pt>
                <c:pt idx="7">
                  <c:v>Torquay, Torbay General District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41</c:v>
                </c:pt>
                <c:pt idx="14">
                  <c:v>0</c:v>
                </c:pt>
                <c:pt idx="15">
                  <c:v>99</c:v>
                </c:pt>
                <c:pt idx="16">
                  <c:v>284</c:v>
                </c:pt>
                <c:pt idx="1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168960"/>
        <c:axId val="178170496"/>
      </c:barChart>
      <c:catAx>
        <c:axId val="178168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170496"/>
        <c:crosses val="autoZero"/>
        <c:auto val="1"/>
        <c:lblAlgn val="ctr"/>
        <c:lblOffset val="100"/>
        <c:noMultiLvlLbl val="0"/>
      </c:catAx>
      <c:valAx>
        <c:axId val="17817049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7816896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31</c:v>
                </c:pt>
                <c:pt idx="1">
                  <c:v>35</c:v>
                </c:pt>
                <c:pt idx="2">
                  <c:v>126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69</c:v>
                </c:pt>
                <c:pt idx="1">
                  <c:v>55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42</c:v>
                </c:pt>
                <c:pt idx="1">
                  <c:v>67</c:v>
                </c:pt>
                <c:pt idx="2">
                  <c:v>58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7154176"/>
        <c:axId val="247155712"/>
      </c:barChart>
      <c:catAx>
        <c:axId val="24715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155712"/>
        <c:crosses val="autoZero"/>
        <c:auto val="1"/>
        <c:lblAlgn val="ctr"/>
        <c:lblOffset val="100"/>
        <c:noMultiLvlLbl val="0"/>
      </c:catAx>
      <c:valAx>
        <c:axId val="2471557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715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7208960"/>
        <c:axId val="247214848"/>
      </c:barChart>
      <c:catAx>
        <c:axId val="2472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214848"/>
        <c:crosses val="autoZero"/>
        <c:auto val="1"/>
        <c:lblAlgn val="ctr"/>
        <c:lblOffset val="100"/>
        <c:noMultiLvlLbl val="0"/>
      </c:catAx>
      <c:valAx>
        <c:axId val="247214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720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0%</c:formatCode>
                <c:ptCount val="4"/>
                <c:pt idx="0">
                  <c:v>0.05</c:v>
                </c:pt>
                <c:pt idx="1">
                  <c:v>0.08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7253632"/>
        <c:axId val="247333248"/>
      </c:barChart>
      <c:catAx>
        <c:axId val="24725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333248"/>
        <c:crosses val="autoZero"/>
        <c:auto val="1"/>
        <c:lblAlgn val="ctr"/>
        <c:lblOffset val="100"/>
        <c:noMultiLvlLbl val="0"/>
      </c:catAx>
      <c:valAx>
        <c:axId val="2473332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7253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12.8</c:v>
                </c:pt>
                <c:pt idx="1">
                  <c:v>11.5</c:v>
                </c:pt>
                <c:pt idx="2" formatCode="General">
                  <c:v>11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18.8</c:v>
                </c:pt>
                <c:pt idx="1">
                  <c:v>19.7</c:v>
                </c:pt>
                <c:pt idx="2" formatCode="General">
                  <c:v>15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820992"/>
        <c:axId val="248591104"/>
      </c:barChart>
      <c:catAx>
        <c:axId val="24482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591104"/>
        <c:crosses val="autoZero"/>
        <c:auto val="1"/>
        <c:lblAlgn val="ctr"/>
        <c:lblOffset val="100"/>
        <c:noMultiLvlLbl val="0"/>
      </c:catAx>
      <c:valAx>
        <c:axId val="24859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820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41</c:v>
                </c:pt>
                <c:pt idx="1">
                  <c:v>55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114</c:v>
                </c:pt>
                <c:pt idx="1">
                  <c:v>107</c:v>
                </c:pt>
                <c:pt idx="2">
                  <c:v>108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99</c:v>
                </c:pt>
                <c:pt idx="1">
                  <c:v>137</c:v>
                </c:pt>
                <c:pt idx="2">
                  <c:v>176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8648064"/>
        <c:axId val="248649600"/>
      </c:barChart>
      <c:catAx>
        <c:axId val="24864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649600"/>
        <c:crosses val="autoZero"/>
        <c:auto val="1"/>
        <c:lblAlgn val="ctr"/>
        <c:lblOffset val="100"/>
        <c:noMultiLvlLbl val="0"/>
      </c:catAx>
      <c:valAx>
        <c:axId val="24864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648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65</c:v>
                </c:pt>
                <c:pt idx="1">
                  <c:v>31</c:v>
                </c:pt>
                <c:pt idx="2">
                  <c:v>43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104</c:v>
                </c:pt>
                <c:pt idx="1">
                  <c:v>114</c:v>
                </c:pt>
                <c:pt idx="2">
                  <c:v>61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26</c:v>
                </c:pt>
                <c:pt idx="1">
                  <c:v>48</c:v>
                </c:pt>
                <c:pt idx="2">
                  <c:v>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8706944"/>
        <c:axId val="248708480"/>
      </c:barChart>
      <c:catAx>
        <c:axId val="24870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708480"/>
        <c:crosses val="autoZero"/>
        <c:auto val="1"/>
        <c:lblAlgn val="ctr"/>
        <c:lblOffset val="100"/>
        <c:noMultiLvlLbl val="0"/>
      </c:catAx>
      <c:valAx>
        <c:axId val="24870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706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0.107</c:v>
                </c:pt>
                <c:pt idx="1">
                  <c:v>0.13</c:v>
                </c:pt>
                <c:pt idx="2">
                  <c:v>0.15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6.8000000000000005E-2</c:v>
                </c:pt>
                <c:pt idx="1">
                  <c:v>7.0000000000000007E-2</c:v>
                </c:pt>
                <c:pt idx="2">
                  <c:v>0.13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751616"/>
        <c:axId val="248753152"/>
      </c:barChart>
      <c:catAx>
        <c:axId val="24875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753152"/>
        <c:crosses val="autoZero"/>
        <c:auto val="1"/>
        <c:lblAlgn val="ctr"/>
        <c:lblOffset val="100"/>
        <c:noMultiLvlLbl val="0"/>
      </c:catAx>
      <c:valAx>
        <c:axId val="248753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8751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Plymouth, Derriford Hospital </c:v>
                </c:pt>
                <c:pt idx="6">
                  <c:v>Truro, Royal Cornwall Hospital </c:v>
                </c:pt>
                <c:pt idx="7">
                  <c:v>Hywel Dda UHB, Withybush Hospital</c:v>
                </c:pt>
                <c:pt idx="8">
                  <c:v>Bath, Royal United Hospital 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Swindon, Great Weston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35</c:v>
                </c:pt>
                <c:pt idx="13">
                  <c:v>35</c:v>
                </c:pt>
                <c:pt idx="14">
                  <c:v>27</c:v>
                </c:pt>
                <c:pt idx="15">
                  <c:v>34</c:v>
                </c:pt>
                <c:pt idx="16">
                  <c:v>26</c:v>
                </c:pt>
                <c:pt idx="1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Plymouth, Derriford Hospital </c:v>
                </c:pt>
                <c:pt idx="6">
                  <c:v>Truro, Royal Cornwall Hospital </c:v>
                </c:pt>
                <c:pt idx="7">
                  <c:v>Hywel Dda UHB, Withybush Hospital</c:v>
                </c:pt>
                <c:pt idx="8">
                  <c:v>Bath, Royal United Hospital 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Swindon, Great Weston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48</c:v>
                </c:pt>
                <c:pt idx="1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Plymouth, Derriford Hospital </c:v>
                </c:pt>
                <c:pt idx="6">
                  <c:v>Truro, Royal Cornwall Hospital </c:v>
                </c:pt>
                <c:pt idx="7">
                  <c:v>Hywel Dda UHB, Withybush Hospital</c:v>
                </c:pt>
                <c:pt idx="8">
                  <c:v>Bath, Royal United Hospital 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Swindon, Great Weston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494080"/>
        <c:axId val="178495872"/>
      </c:barChart>
      <c:catAx>
        <c:axId val="178494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495872"/>
        <c:crosses val="autoZero"/>
        <c:auto val="1"/>
        <c:lblAlgn val="ctr"/>
        <c:lblOffset val="100"/>
        <c:noMultiLvlLbl val="0"/>
      </c:catAx>
      <c:valAx>
        <c:axId val="1784958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7849408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Plymouth, Derriford Hospital </c:v>
                </c:pt>
                <c:pt idx="6">
                  <c:v>Torquay, Torbay General District Hospital </c:v>
                </c:pt>
                <c:pt idx="7">
                  <c:v>Swindon, Great Weston Hospital </c:v>
                </c:pt>
                <c:pt idx="8">
                  <c:v>Bath, Royal United Hospital </c:v>
                </c:pt>
                <c:pt idx="9">
                  <c:v>Bristol, Bristol Heart Institute / Bristol Royal Hospital for Children</c:v>
                </c:pt>
                <c:pt idx="10">
                  <c:v>Truro, Royal Cornwall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Swansea Bay UHB, Morriston / Singleton Hospitals</c:v>
                </c:pt>
                <c:pt idx="14">
                  <c:v>Exeter, Royal Devon and Exeter Hospital </c:v>
                </c:pt>
                <c:pt idx="15">
                  <c:v>Cardiff &amp; Vale UHB, Noah’s Ark / University Hospital Wales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2.9000000000000001E-2</c:v>
                </c:pt>
                <c:pt idx="7">
                  <c:v>5.1999999999999998E-2</c:v>
                </c:pt>
                <c:pt idx="8">
                  <c:v>5.8000000000000003E-2</c:v>
                </c:pt>
                <c:pt idx="9">
                  <c:v>5.8999999999999997E-2</c:v>
                </c:pt>
                <c:pt idx="10">
                  <c:v>6.3399999999999998E-2</c:v>
                </c:pt>
                <c:pt idx="11">
                  <c:v>8.3000000000000004E-2</c:v>
                </c:pt>
                <c:pt idx="12">
                  <c:v>0.107</c:v>
                </c:pt>
                <c:pt idx="13">
                  <c:v>0.11</c:v>
                </c:pt>
                <c:pt idx="14">
                  <c:v>0.13</c:v>
                </c:pt>
                <c:pt idx="15">
                  <c:v>0.15</c:v>
                </c:pt>
                <c:pt idx="16">
                  <c:v>0.20369999999999999</c:v>
                </c:pt>
                <c:pt idx="17">
                  <c:v>0.3095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8513024"/>
        <c:axId val="178514560"/>
      </c:barChart>
      <c:catAx>
        <c:axId val="178513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514560"/>
        <c:crosses val="autoZero"/>
        <c:auto val="1"/>
        <c:lblAlgn val="ctr"/>
        <c:lblOffset val="100"/>
        <c:noMultiLvlLbl val="0"/>
      </c:catAx>
      <c:valAx>
        <c:axId val="17851456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85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Bristol, Bristol Heart Institute / Bristol Royal Hospital for Children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Cwm Taf Morgannwg UHB, Prince Charles Hospital</c:v>
                </c:pt>
                <c:pt idx="12">
                  <c:v>Truro, Royal Cornwall Hospital </c:v>
                </c:pt>
                <c:pt idx="13">
                  <c:v>Cwm Taf Morgannwg UHB, Royal Glamorgan Hospital </c:v>
                </c:pt>
                <c:pt idx="14">
                  <c:v>Bath, Royal United Hospital </c:v>
                </c:pt>
                <c:pt idx="15">
                  <c:v>Gloucester, Gloucestershire Hospitals</c:v>
                </c:pt>
                <c:pt idx="16">
                  <c:v>Exeter, Royal Devon and Exeter Hospital 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1.6E-2</c:v>
                </c:pt>
                <c:pt idx="11">
                  <c:v>4.65E-2</c:v>
                </c:pt>
                <c:pt idx="12">
                  <c:v>5.74E-2</c:v>
                </c:pt>
                <c:pt idx="13">
                  <c:v>0.06</c:v>
                </c:pt>
                <c:pt idx="14">
                  <c:v>0.06</c:v>
                </c:pt>
                <c:pt idx="15">
                  <c:v>6.8000000000000005E-2</c:v>
                </c:pt>
                <c:pt idx="16">
                  <c:v>7.0000000000000007E-2</c:v>
                </c:pt>
                <c:pt idx="1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918720"/>
        <c:axId val="182321920"/>
      </c:barChart>
      <c:catAx>
        <c:axId val="181918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2321920"/>
        <c:crosses val="autoZero"/>
        <c:auto val="1"/>
        <c:lblAlgn val="ctr"/>
        <c:lblOffset val="100"/>
        <c:noMultiLvlLbl val="0"/>
      </c:catAx>
      <c:valAx>
        <c:axId val="18232192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81918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Q1'!$J$81:$J$98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Aneurin Bevan UHB, Nevill Hall &amp; Royal Gwent Hospitals</c:v>
                </c:pt>
                <c:pt idx="14">
                  <c:v>Cwm Taf Morgannwg UHB, Royal Glamorgan Hospital </c:v>
                </c:pt>
                <c:pt idx="15">
                  <c:v>Bristol, Bristol Heart Institute / Bristol Royal Hospital for Children</c:v>
                </c:pt>
                <c:pt idx="16">
                  <c:v>Gloucester, Gloucestershire Hospitals</c:v>
                </c:pt>
                <c:pt idx="17">
                  <c:v>Cardiff &amp; Vale UHB, Noah’s Ark / University Hospital Wales</c:v>
                </c:pt>
              </c:strCache>
            </c:strRef>
          </c:cat>
          <c:val>
            <c:numRef>
              <c:f>'Graph data Q1'!$K$81:$K$98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0.03</c:v>
                </c:pt>
                <c:pt idx="13">
                  <c:v>0.05</c:v>
                </c:pt>
                <c:pt idx="14">
                  <c:v>0.05</c:v>
                </c:pt>
                <c:pt idx="15">
                  <c:v>0.14000000000000001</c:v>
                </c:pt>
                <c:pt idx="16">
                  <c:v>0.17</c:v>
                </c:pt>
                <c:pt idx="17">
                  <c:v>0.255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363264"/>
        <c:axId val="182364800"/>
      </c:barChart>
      <c:catAx>
        <c:axId val="182363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2364800"/>
        <c:crosses val="autoZero"/>
        <c:auto val="1"/>
        <c:lblAlgn val="ctr"/>
        <c:lblOffset val="100"/>
        <c:noMultiLvlLbl val="0"/>
      </c:catAx>
      <c:valAx>
        <c:axId val="18236480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82363264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1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1" val="0"/>
</file>

<file path=xl/ctrlProps/ctrlProp3.xml><?xml version="1.0" encoding="utf-8"?>
<formControlPr xmlns="http://schemas.microsoft.com/office/spreadsheetml/2009/9/main" objectType="Drop" dropLines="20" dropStyle="combo" dx="20" fmlaLink="Control!$B$40" fmlaRange="Control!$B$22:$B$38" noThreeD="1" sel="13" val="0"/>
</file>

<file path=xl/ctrlProps/ctrlProp4.xml><?xml version="1.0" encoding="utf-8"?>
<formControlPr xmlns="http://schemas.microsoft.com/office/spreadsheetml/2009/9/main" objectType="Drop" dropLines="20" dropStyle="combo" dx="20" fmlaLink="Control!$B$40" fmlaRange="Control!$B$22:$B$38" noThreeD="1" sel="13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1" val="0"/>
</file>

<file path=xl/ctrlProps/ctrlProp6.xml><?xml version="1.0" encoding="utf-8"?>
<formControlPr xmlns="http://schemas.microsoft.com/office/spreadsheetml/2009/9/main" objectType="Drop" dropLines="19" dropStyle="combo" dx="20" fmlaLink="$B$40" fmlaRange="$B$22:$B$39" noThreeD="1" sel="1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38099</xdr:rowOff>
    </xdr:from>
    <xdr:to>
      <xdr:col>12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52</xdr:row>
      <xdr:rowOff>114300</xdr:rowOff>
    </xdr:from>
    <xdr:to>
      <xdr:col>6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52</xdr:row>
      <xdr:rowOff>142875</xdr:rowOff>
    </xdr:from>
    <xdr:to>
      <xdr:col>12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133349</xdr:colOff>
      <xdr:row>70</xdr:row>
      <xdr:rowOff>0</xdr:rowOff>
    </xdr:from>
    <xdr:to>
      <xdr:col>12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527050</xdr:colOff>
          <xdr:row>29</xdr:row>
          <xdr:rowOff>107950</xdr:rowOff>
        </xdr:from>
        <xdr:to>
          <xdr:col>12</xdr:col>
          <xdr:colOff>266700</xdr:colOff>
          <xdr:row>31</xdr:row>
          <xdr:rowOff>76200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311150</xdr:colOff>
      <xdr:row>0</xdr:row>
      <xdr:rowOff>361950</xdr:rowOff>
    </xdr:from>
    <xdr:to>
      <xdr:col>15</xdr:col>
      <xdr:colOff>380162</xdr:colOff>
      <xdr:row>5</xdr:row>
      <xdr:rowOff>49514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361950</xdr:colOff>
          <xdr:row>3</xdr:row>
          <xdr:rowOff>171450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29</xdr:row>
          <xdr:rowOff>69850</xdr:rowOff>
        </xdr:from>
        <xdr:to>
          <xdr:col>11</xdr:col>
          <xdr:colOff>400050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F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46339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2</xdr:row>
          <xdr:rowOff>19050</xdr:rowOff>
        </xdr:from>
        <xdr:to>
          <xdr:col>4</xdr:col>
          <xdr:colOff>508000</xdr:colOff>
          <xdr:row>3</xdr:row>
          <xdr:rowOff>184150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F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</xdr:row>
          <xdr:rowOff>38100</xdr:rowOff>
        </xdr:from>
        <xdr:to>
          <xdr:col>5</xdr:col>
          <xdr:colOff>571500</xdr:colOff>
          <xdr:row>8</xdr:row>
          <xdr:rowOff>171450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38100</xdr:rowOff>
        </xdr:from>
        <xdr:to>
          <xdr:col>5</xdr:col>
          <xdr:colOff>571500</xdr:colOff>
          <xdr:row>30</xdr:row>
          <xdr:rowOff>171450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425824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Network/Data%20&amp;%20Dashboard/2021/4.%20Dec%202021/0.%20CHDN%20Dashboard%20Outpatient%20Q2%202021-22_%20JM%20fix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RAG Ratings"/>
      <sheetName val="Q1 ADULTS"/>
      <sheetName val="Q1 PAEDS"/>
      <sheetName val="Q1 Graphs"/>
      <sheetName val="Q2 ADULTS"/>
      <sheetName val="Q2 PAEDS"/>
      <sheetName val="Q2 Graphs"/>
      <sheetName val="Q3 ADULTS"/>
      <sheetName val="Q3 PAEDS"/>
      <sheetName val="Q3 Graphs"/>
      <sheetName val="Q4 ADULTS"/>
      <sheetName val="Q4 PAEDS"/>
      <sheetName val="Q4 Graphs"/>
      <sheetName val="Y2D Adult OP"/>
      <sheetName val="Y2D Paeds OP"/>
      <sheetName val="Data"/>
      <sheetName val="Graph data Q1"/>
      <sheetName val="Graph data Q2"/>
      <sheetName val="Graph data Q3"/>
      <sheetName val="Graph data Q4"/>
      <sheetName val="Graph data Y2D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U5" t="str">
            <v>Local consultant</v>
          </cell>
          <cell r="V5" t="str">
            <v>Visiting consultant</v>
          </cell>
        </row>
        <row r="30">
          <cell r="U30" t="str">
            <v>Local consultant</v>
          </cell>
          <cell r="V30" t="str">
            <v>Visiting consultant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49"/>
  <sheetViews>
    <sheetView showGridLines="0" tabSelected="1" topLeftCell="I1" zoomScale="106" zoomScaleNormal="106" workbookViewId="0">
      <selection activeCell="M16" sqref="M16"/>
    </sheetView>
  </sheetViews>
  <sheetFormatPr defaultColWidth="0" defaultRowHeight="14.5" zeroHeight="1" x14ac:dyDescent="0.35"/>
  <cols>
    <col min="1" max="8" width="0" hidden="1" customWidth="1"/>
    <col min="9" max="9" width="8.81640625" customWidth="1"/>
    <col min="10" max="10" width="3.26953125" style="39" customWidth="1"/>
    <col min="11" max="11" width="8.1796875" customWidth="1"/>
    <col min="12" max="14" width="28.81640625" style="1" customWidth="1"/>
    <col min="15" max="15" width="8.26953125" customWidth="1"/>
    <col min="16" max="16" width="12" customWidth="1"/>
    <col min="17" max="17" width="12.81640625" hidden="1" customWidth="1"/>
    <col min="18" max="18" width="13.81640625" hidden="1" customWidth="1"/>
    <col min="19" max="19" width="11" hidden="1" customWidth="1"/>
    <col min="20" max="20" width="0" hidden="1" customWidth="1"/>
    <col min="21" max="16384" width="8.81640625" hidden="1"/>
  </cols>
  <sheetData>
    <row r="1" spans="9:19" s="14" customFormat="1" ht="67.5" customHeight="1" x14ac:dyDescent="0.6">
      <c r="I1" s="327" t="s">
        <v>56</v>
      </c>
      <c r="J1" s="327"/>
      <c r="K1" s="328"/>
      <c r="L1" s="328"/>
      <c r="M1" s="328"/>
      <c r="N1" s="328"/>
      <c r="O1" s="328"/>
      <c r="P1" s="328"/>
      <c r="Q1" s="328"/>
      <c r="R1" s="328"/>
      <c r="S1" s="328"/>
    </row>
    <row r="2" spans="9:19" s="15" customFormat="1" ht="26" x14ac:dyDescent="0.6">
      <c r="I2" s="195"/>
      <c r="J2" s="195"/>
      <c r="K2" s="196" t="s">
        <v>184</v>
      </c>
      <c r="L2" s="197"/>
      <c r="M2" s="197"/>
      <c r="N2" s="197"/>
      <c r="O2" s="195"/>
      <c r="P2" s="195"/>
      <c r="Q2" s="195"/>
      <c r="R2" s="195"/>
      <c r="S2" s="195"/>
    </row>
    <row r="3" spans="9:19" s="17" customFormat="1" ht="26" x14ac:dyDescent="0.6">
      <c r="I3" s="198"/>
      <c r="J3" s="198"/>
      <c r="K3" s="199"/>
      <c r="L3" s="200"/>
      <c r="M3" s="200"/>
      <c r="N3" s="200"/>
      <c r="O3" s="198"/>
      <c r="P3" s="198"/>
      <c r="Q3" s="198"/>
      <c r="R3" s="198"/>
      <c r="S3" s="198"/>
    </row>
    <row r="4" spans="9:19" s="17" customFormat="1" ht="19" customHeight="1" x14ac:dyDescent="0.35">
      <c r="I4" s="325" t="s">
        <v>17</v>
      </c>
      <c r="J4" s="325"/>
      <c r="K4" s="325"/>
      <c r="L4" s="325"/>
      <c r="M4" s="325"/>
      <c r="N4" s="325"/>
      <c r="O4" s="325"/>
      <c r="P4" s="325"/>
      <c r="Q4" s="325"/>
      <c r="R4" s="325"/>
      <c r="S4" s="325"/>
    </row>
    <row r="5" spans="9:19" s="17" customFormat="1" ht="15.75" customHeight="1" x14ac:dyDescent="0.35">
      <c r="I5" s="326" t="s">
        <v>126</v>
      </c>
      <c r="J5" s="326"/>
      <c r="K5" s="326"/>
      <c r="L5" s="326"/>
      <c r="M5" s="326"/>
      <c r="N5" s="326"/>
      <c r="O5" s="326"/>
      <c r="P5" s="326"/>
      <c r="Q5" s="326"/>
      <c r="R5" s="326"/>
      <c r="S5" s="326"/>
    </row>
    <row r="6" spans="9:19" ht="13.5" customHeight="1" x14ac:dyDescent="0.35">
      <c r="I6" s="198"/>
      <c r="J6" s="198"/>
      <c r="K6" s="198"/>
      <c r="L6" s="200"/>
      <c r="M6" s="200"/>
      <c r="N6" s="200"/>
      <c r="O6" s="198"/>
      <c r="P6" s="198"/>
      <c r="Q6" s="198"/>
      <c r="R6" s="198"/>
      <c r="S6" s="198"/>
    </row>
    <row r="7" spans="9:19" s="39" customFormat="1" ht="9" customHeight="1" x14ac:dyDescent="0.35">
      <c r="I7" s="201"/>
      <c r="J7" s="202"/>
      <c r="K7" s="203"/>
      <c r="L7" s="203"/>
      <c r="M7" s="204"/>
      <c r="N7" s="204"/>
      <c r="O7" s="205"/>
      <c r="P7" s="198"/>
      <c r="Q7" s="198"/>
      <c r="R7" s="198"/>
      <c r="S7" s="198"/>
    </row>
    <row r="8" spans="9:19" s="39" customFormat="1" ht="25.5" customHeight="1" x14ac:dyDescent="0.35">
      <c r="I8" s="201"/>
      <c r="J8" s="202"/>
      <c r="K8" s="206" t="s">
        <v>128</v>
      </c>
      <c r="L8" s="204"/>
      <c r="M8" s="204"/>
      <c r="N8" s="204"/>
      <c r="O8" s="205"/>
      <c r="P8" s="198"/>
      <c r="Q8" s="198"/>
      <c r="R8" s="198"/>
      <c r="S8" s="198"/>
    </row>
    <row r="9" spans="9:19" s="39" customFormat="1" ht="25.5" customHeight="1" x14ac:dyDescent="0.35">
      <c r="I9" s="201"/>
      <c r="J9" s="202"/>
      <c r="K9" s="220" t="s">
        <v>6</v>
      </c>
      <c r="L9" s="221" t="s">
        <v>174</v>
      </c>
      <c r="M9" s="221" t="s">
        <v>129</v>
      </c>
      <c r="N9" s="221" t="s">
        <v>130</v>
      </c>
      <c r="O9" s="207"/>
      <c r="P9" s="198"/>
      <c r="Q9" s="198"/>
      <c r="R9" s="198"/>
      <c r="S9" s="198"/>
    </row>
    <row r="10" spans="9:19" s="39" customFormat="1" ht="25.5" customHeight="1" x14ac:dyDescent="0.35">
      <c r="I10" s="201"/>
      <c r="J10" s="202"/>
      <c r="K10" s="220" t="s">
        <v>7</v>
      </c>
      <c r="L10" s="221" t="s">
        <v>174</v>
      </c>
      <c r="M10" s="221" t="s">
        <v>129</v>
      </c>
      <c r="N10" s="221" t="s">
        <v>130</v>
      </c>
      <c r="O10" s="205"/>
      <c r="P10" s="198"/>
      <c r="Q10" s="198"/>
      <c r="R10" s="198"/>
      <c r="S10" s="198"/>
    </row>
    <row r="11" spans="9:19" s="39" customFormat="1" ht="25.5" customHeight="1" x14ac:dyDescent="0.35">
      <c r="I11" s="201"/>
      <c r="J11" s="202"/>
      <c r="K11" s="316" t="s">
        <v>8</v>
      </c>
      <c r="L11" s="317" t="s">
        <v>174</v>
      </c>
      <c r="M11" s="317" t="s">
        <v>129</v>
      </c>
      <c r="N11" s="317" t="s">
        <v>130</v>
      </c>
      <c r="O11" s="208"/>
      <c r="P11" s="198"/>
      <c r="Q11" s="198"/>
      <c r="R11" s="198"/>
      <c r="S11" s="198"/>
    </row>
    <row r="12" spans="9:19" s="39" customFormat="1" ht="25.5" customHeight="1" x14ac:dyDescent="0.35">
      <c r="I12" s="201"/>
      <c r="J12" s="202"/>
      <c r="K12" s="223" t="s">
        <v>9</v>
      </c>
      <c r="L12" s="222" t="s">
        <v>174</v>
      </c>
      <c r="M12" s="222" t="s">
        <v>129</v>
      </c>
      <c r="N12" s="222" t="s">
        <v>130</v>
      </c>
      <c r="O12" s="205"/>
      <c r="P12" s="198"/>
      <c r="Q12" s="198"/>
      <c r="R12" s="198"/>
      <c r="S12" s="198"/>
    </row>
    <row r="13" spans="9:19" s="39" customFormat="1" ht="25.5" customHeight="1" x14ac:dyDescent="0.35">
      <c r="I13" s="201"/>
      <c r="J13" s="209"/>
      <c r="K13" s="210"/>
      <c r="L13" s="211"/>
      <c r="M13" s="212"/>
      <c r="N13" s="212"/>
      <c r="O13" s="205"/>
      <c r="P13" s="198"/>
      <c r="Q13" s="198"/>
      <c r="R13" s="198"/>
      <c r="S13" s="198"/>
    </row>
    <row r="14" spans="9:19" s="39" customFormat="1" ht="25.5" customHeight="1" x14ac:dyDescent="0.35">
      <c r="I14" s="201"/>
      <c r="J14" s="209"/>
      <c r="K14" s="210"/>
      <c r="L14" s="213"/>
      <c r="M14" s="204"/>
      <c r="N14" s="204"/>
      <c r="O14" s="205"/>
      <c r="P14" s="198"/>
      <c r="Q14" s="198"/>
      <c r="R14" s="198"/>
      <c r="S14" s="198"/>
    </row>
    <row r="15" spans="9:19" s="39" customFormat="1" ht="25.5" customHeight="1" x14ac:dyDescent="0.35">
      <c r="I15" s="201"/>
      <c r="J15" s="209"/>
      <c r="K15" s="214" t="s">
        <v>131</v>
      </c>
      <c r="L15" s="207"/>
      <c r="M15" s="204"/>
      <c r="N15" s="204"/>
      <c r="O15" s="205"/>
      <c r="P15" s="198"/>
      <c r="Q15" s="198"/>
      <c r="R15" s="198"/>
      <c r="S15" s="198"/>
    </row>
    <row r="16" spans="9:19" s="39" customFormat="1" ht="25.5" customHeight="1" x14ac:dyDescent="0.35">
      <c r="I16" s="201"/>
      <c r="J16" s="209"/>
      <c r="K16" s="215"/>
      <c r="L16" s="218" t="s">
        <v>174</v>
      </c>
      <c r="M16" s="218" t="s">
        <v>125</v>
      </c>
      <c r="N16" s="216"/>
      <c r="O16" s="205"/>
      <c r="P16" s="198"/>
      <c r="Q16" s="198"/>
      <c r="R16" s="198"/>
      <c r="S16" s="198"/>
    </row>
    <row r="17" spans="9:19" s="39" customFormat="1" ht="25.5" customHeight="1" x14ac:dyDescent="0.35">
      <c r="I17" s="201"/>
      <c r="J17" s="209"/>
      <c r="K17" s="215"/>
      <c r="L17" s="213"/>
      <c r="M17" s="204"/>
      <c r="N17" s="204"/>
      <c r="O17" s="205"/>
      <c r="P17" s="198"/>
      <c r="Q17" s="198"/>
      <c r="R17" s="198"/>
      <c r="S17" s="198"/>
    </row>
    <row r="18" spans="9:19" s="39" customFormat="1" ht="25.5" customHeight="1" x14ac:dyDescent="0.35">
      <c r="I18" s="198"/>
      <c r="J18" s="198"/>
      <c r="K18" s="198"/>
      <c r="L18" s="200"/>
      <c r="M18" s="200"/>
      <c r="N18" s="200"/>
      <c r="O18" s="198"/>
      <c r="P18" s="198"/>
      <c r="Q18" s="198"/>
      <c r="R18" s="198"/>
      <c r="S18" s="198"/>
    </row>
    <row r="19" spans="9:19" s="39" customFormat="1" ht="25.5" customHeight="1" x14ac:dyDescent="0.35">
      <c r="I19" s="198"/>
      <c r="J19" s="198"/>
      <c r="K19" s="217" t="s">
        <v>173</v>
      </c>
      <c r="L19" s="200"/>
      <c r="M19" s="200"/>
      <c r="N19" s="200"/>
      <c r="O19" s="198"/>
      <c r="P19" s="198"/>
      <c r="Q19" s="198"/>
      <c r="R19" s="198"/>
      <c r="S19" s="198"/>
    </row>
    <row r="20" spans="9:19" x14ac:dyDescent="0.35">
      <c r="I20" s="198"/>
      <c r="J20" s="198"/>
      <c r="K20" s="198" t="s">
        <v>179</v>
      </c>
      <c r="L20" s="200"/>
      <c r="M20" s="200"/>
      <c r="N20" s="200"/>
      <c r="O20" s="198"/>
      <c r="P20" s="198"/>
      <c r="Q20" s="198"/>
      <c r="R20" s="198"/>
      <c r="S20" s="198"/>
    </row>
    <row r="21" spans="9:19" x14ac:dyDescent="0.35">
      <c r="I21" s="198"/>
      <c r="J21" s="198"/>
      <c r="K21" s="198"/>
      <c r="L21" s="200"/>
      <c r="M21" s="200"/>
      <c r="N21" s="200"/>
      <c r="O21" s="198"/>
      <c r="P21" s="198"/>
      <c r="Q21" s="198"/>
      <c r="R21" s="198"/>
      <c r="S21" s="198"/>
    </row>
    <row r="22" spans="9:19" x14ac:dyDescent="0.35">
      <c r="I22" s="198"/>
      <c r="J22" s="198"/>
      <c r="K22" s="198"/>
      <c r="L22" s="200"/>
      <c r="M22" s="200"/>
      <c r="N22" s="200"/>
      <c r="O22" s="198"/>
      <c r="P22" s="198"/>
      <c r="Q22" s="198"/>
      <c r="R22" s="198"/>
      <c r="S22" s="198"/>
    </row>
    <row r="23" spans="9:19" x14ac:dyDescent="0.35">
      <c r="I23" s="198"/>
      <c r="J23" s="198"/>
      <c r="K23" s="198"/>
      <c r="L23" s="200"/>
      <c r="M23" s="200"/>
      <c r="N23" s="200"/>
      <c r="O23" s="198"/>
      <c r="P23" s="198"/>
      <c r="Q23" s="198"/>
      <c r="R23" s="198"/>
      <c r="S23" s="198"/>
    </row>
    <row r="24" spans="9:19" x14ac:dyDescent="0.35">
      <c r="I24" s="198"/>
      <c r="J24" s="198"/>
      <c r="K24" s="198"/>
      <c r="L24" s="200"/>
      <c r="M24" s="200"/>
      <c r="N24" s="200"/>
      <c r="O24" s="198"/>
      <c r="P24" s="198"/>
      <c r="Q24" s="198"/>
      <c r="R24" s="198"/>
      <c r="S24" s="198"/>
    </row>
    <row r="25" spans="9:19" x14ac:dyDescent="0.35">
      <c r="I25" s="198"/>
      <c r="J25" s="198"/>
      <c r="K25" s="198"/>
      <c r="L25" s="200"/>
      <c r="M25" s="200"/>
      <c r="N25" s="200"/>
      <c r="O25" s="198"/>
      <c r="P25" s="198"/>
      <c r="Q25" s="198"/>
      <c r="R25" s="198"/>
      <c r="S25" s="198"/>
    </row>
    <row r="26" spans="9:19" x14ac:dyDescent="0.35">
      <c r="I26" s="198"/>
      <c r="J26" s="198"/>
      <c r="K26" s="198"/>
      <c r="L26" s="200"/>
      <c r="M26" s="200"/>
      <c r="N26" s="200"/>
      <c r="O26" s="198"/>
      <c r="P26" s="198"/>
      <c r="Q26" s="198"/>
      <c r="R26" s="198"/>
      <c r="S26" s="198"/>
    </row>
    <row r="27" spans="9:19" x14ac:dyDescent="0.35">
      <c r="I27" s="198"/>
      <c r="J27" s="198"/>
      <c r="K27" s="198"/>
      <c r="L27" s="200"/>
      <c r="M27" s="200"/>
      <c r="N27" s="200"/>
      <c r="O27" s="198"/>
      <c r="P27" s="198"/>
      <c r="Q27" s="198"/>
      <c r="R27" s="198"/>
      <c r="S27" s="198"/>
    </row>
    <row r="28" spans="9:19" hidden="1" x14ac:dyDescent="0.35">
      <c r="I28" s="207"/>
      <c r="J28" s="207"/>
      <c r="K28" s="207"/>
      <c r="L28" s="213"/>
      <c r="M28" s="213"/>
      <c r="N28" s="213"/>
      <c r="O28" s="207"/>
      <c r="P28" s="207"/>
      <c r="Q28" s="207"/>
      <c r="R28" s="207"/>
      <c r="S28" s="207"/>
    </row>
    <row r="29" spans="9:19" hidden="1" x14ac:dyDescent="0.35">
      <c r="I29" s="207"/>
      <c r="J29" s="207"/>
      <c r="K29" s="207"/>
      <c r="L29" s="213"/>
      <c r="M29" s="213"/>
      <c r="N29" s="213"/>
      <c r="O29" s="207"/>
      <c r="P29" s="207"/>
      <c r="Q29" s="207"/>
      <c r="R29" s="207"/>
      <c r="S29" s="207"/>
    </row>
    <row r="30" spans="9:19" hidden="1" x14ac:dyDescent="0.35">
      <c r="I30" s="207"/>
      <c r="J30" s="207"/>
      <c r="K30" s="207"/>
      <c r="L30" s="213"/>
      <c r="M30" s="213"/>
      <c r="N30" s="213"/>
      <c r="O30" s="207"/>
      <c r="P30" s="207"/>
      <c r="Q30" s="207"/>
      <c r="R30" s="207"/>
      <c r="S30" s="207"/>
    </row>
    <row r="31" spans="9:19" hidden="1" x14ac:dyDescent="0.35">
      <c r="I31" s="207"/>
      <c r="J31" s="207"/>
      <c r="K31" s="207"/>
      <c r="L31" s="213"/>
      <c r="M31" s="213"/>
      <c r="N31" s="213"/>
      <c r="O31" s="207"/>
      <c r="P31" s="207"/>
      <c r="Q31" s="207"/>
      <c r="R31" s="207"/>
      <c r="S31" s="207"/>
    </row>
    <row r="32" spans="9:19" hidden="1" x14ac:dyDescent="0.35">
      <c r="I32" s="207"/>
      <c r="J32" s="207"/>
      <c r="K32" s="207"/>
      <c r="L32" s="213"/>
      <c r="M32" s="213"/>
      <c r="N32" s="213"/>
      <c r="O32" s="207"/>
      <c r="P32" s="207"/>
      <c r="Q32" s="207"/>
      <c r="R32" s="207"/>
      <c r="S32" s="207"/>
    </row>
    <row r="33" spans="9:19" hidden="1" x14ac:dyDescent="0.35">
      <c r="I33" s="207"/>
      <c r="J33" s="207"/>
      <c r="K33" s="207"/>
      <c r="L33" s="213"/>
      <c r="M33" s="213"/>
      <c r="N33" s="213"/>
      <c r="O33" s="207"/>
      <c r="P33" s="207"/>
      <c r="Q33" s="207"/>
      <c r="R33" s="207"/>
      <c r="S33" s="207"/>
    </row>
    <row r="34" spans="9:19" hidden="1" x14ac:dyDescent="0.35">
      <c r="I34" s="207"/>
      <c r="J34" s="207"/>
      <c r="K34" s="207"/>
      <c r="L34" s="213"/>
      <c r="M34" s="213"/>
      <c r="N34" s="213"/>
      <c r="O34" s="207"/>
      <c r="P34" s="207"/>
      <c r="Q34" s="207"/>
      <c r="R34" s="207"/>
      <c r="S34" s="207"/>
    </row>
    <row r="35" spans="9:19" hidden="1" x14ac:dyDescent="0.35">
      <c r="I35" s="207"/>
      <c r="J35" s="207"/>
      <c r="K35" s="207"/>
      <c r="L35" s="213"/>
      <c r="M35" s="213"/>
      <c r="N35" s="213"/>
      <c r="O35" s="207"/>
      <c r="P35" s="207"/>
      <c r="Q35" s="207"/>
      <c r="R35" s="207"/>
      <c r="S35" s="207"/>
    </row>
    <row r="36" spans="9:19" hidden="1" x14ac:dyDescent="0.35">
      <c r="I36" s="207"/>
      <c r="J36" s="207"/>
      <c r="K36" s="207"/>
      <c r="L36" s="213"/>
      <c r="M36" s="213"/>
      <c r="N36" s="213"/>
      <c r="O36" s="207"/>
      <c r="P36" s="207"/>
      <c r="Q36" s="207"/>
      <c r="R36" s="207"/>
      <c r="S36" s="207"/>
    </row>
    <row r="37" spans="9:19" hidden="1" x14ac:dyDescent="0.35">
      <c r="I37" s="207"/>
      <c r="J37" s="207"/>
      <c r="K37" s="207"/>
      <c r="L37" s="213"/>
      <c r="M37" s="213"/>
      <c r="N37" s="213"/>
      <c r="O37" s="207"/>
      <c r="P37" s="207"/>
      <c r="Q37" s="207"/>
      <c r="R37" s="207"/>
      <c r="S37" s="207"/>
    </row>
    <row r="38" spans="9:19" hidden="1" x14ac:dyDescent="0.35">
      <c r="I38" s="207"/>
      <c r="J38" s="207"/>
      <c r="K38" s="207"/>
      <c r="L38" s="213"/>
      <c r="M38" s="213"/>
      <c r="N38" s="213"/>
      <c r="O38" s="207"/>
      <c r="P38" s="207"/>
      <c r="Q38" s="207"/>
      <c r="R38" s="207"/>
      <c r="S38" s="207"/>
    </row>
    <row r="39" spans="9:19" hidden="1" x14ac:dyDescent="0.35">
      <c r="I39" s="207"/>
      <c r="J39" s="207"/>
      <c r="K39" s="207"/>
      <c r="L39" s="213"/>
      <c r="M39" s="213"/>
      <c r="N39" s="213"/>
      <c r="O39" s="207"/>
      <c r="P39" s="207"/>
      <c r="Q39" s="207"/>
      <c r="R39" s="207"/>
      <c r="S39" s="207"/>
    </row>
    <row r="40" spans="9:19" hidden="1" x14ac:dyDescent="0.35">
      <c r="I40" s="207"/>
      <c r="J40" s="207"/>
      <c r="K40" s="207"/>
      <c r="L40" s="213"/>
      <c r="M40" s="213"/>
      <c r="N40" s="213"/>
      <c r="O40" s="207"/>
      <c r="P40" s="207"/>
      <c r="Q40" s="207"/>
      <c r="R40" s="207"/>
      <c r="S40" s="207"/>
    </row>
    <row r="41" spans="9:19" hidden="1" x14ac:dyDescent="0.35">
      <c r="I41" s="207"/>
      <c r="J41" s="207"/>
      <c r="K41" s="207"/>
      <c r="L41" s="213"/>
      <c r="M41" s="213"/>
      <c r="N41" s="213"/>
      <c r="O41" s="207"/>
      <c r="P41" s="207"/>
      <c r="Q41" s="207"/>
      <c r="R41" s="207"/>
      <c r="S41" s="207"/>
    </row>
    <row r="42" spans="9:19" hidden="1" x14ac:dyDescent="0.35">
      <c r="I42" s="207"/>
      <c r="J42" s="207"/>
      <c r="K42" s="207"/>
      <c r="L42" s="213"/>
      <c r="M42" s="213"/>
      <c r="N42" s="213"/>
      <c r="O42" s="207"/>
      <c r="P42" s="207"/>
      <c r="Q42" s="207"/>
      <c r="R42" s="207"/>
      <c r="S42" s="207"/>
    </row>
    <row r="43" spans="9:19" hidden="1" x14ac:dyDescent="0.35">
      <c r="I43" s="207"/>
      <c r="J43" s="207"/>
      <c r="K43" s="207"/>
      <c r="L43" s="213"/>
      <c r="M43" s="213"/>
      <c r="N43" s="213"/>
      <c r="O43" s="207"/>
      <c r="P43" s="207"/>
      <c r="Q43" s="207"/>
      <c r="R43" s="207"/>
      <c r="S43" s="207"/>
    </row>
    <row r="44" spans="9:19" hidden="1" x14ac:dyDescent="0.35">
      <c r="I44" s="207"/>
      <c r="J44" s="207"/>
      <c r="K44" s="207"/>
      <c r="L44" s="213"/>
      <c r="M44" s="213"/>
      <c r="N44" s="213"/>
      <c r="O44" s="207"/>
      <c r="P44" s="207"/>
      <c r="Q44" s="207"/>
      <c r="R44" s="207"/>
      <c r="S44" s="207"/>
    </row>
    <row r="45" spans="9:19" x14ac:dyDescent="0.35">
      <c r="I45" s="207"/>
      <c r="J45" s="207"/>
      <c r="K45" s="207"/>
      <c r="L45" s="213"/>
      <c r="M45" s="213"/>
      <c r="N45" s="213"/>
      <c r="O45" s="207"/>
      <c r="P45" s="207"/>
      <c r="Q45" s="207"/>
      <c r="R45" s="207"/>
      <c r="S45" s="207"/>
    </row>
    <row r="46" spans="9:19" x14ac:dyDescent="0.35">
      <c r="I46" s="207"/>
      <c r="J46" s="207"/>
      <c r="K46" s="207"/>
      <c r="L46" s="213"/>
      <c r="M46" s="213"/>
      <c r="N46" s="213"/>
      <c r="O46" s="207"/>
      <c r="P46" s="207"/>
      <c r="Q46" s="207"/>
      <c r="R46" s="207"/>
      <c r="S46" s="207"/>
    </row>
    <row r="47" spans="9:19" x14ac:dyDescent="0.35">
      <c r="I47" s="207"/>
      <c r="J47" s="207"/>
      <c r="K47" s="207"/>
      <c r="L47" s="213"/>
      <c r="M47" s="213"/>
      <c r="N47" s="213"/>
      <c r="O47" s="207"/>
      <c r="P47" s="207"/>
      <c r="Q47" s="207"/>
      <c r="R47" s="207"/>
      <c r="S47" s="207"/>
    </row>
    <row r="48" spans="9:19" x14ac:dyDescent="0.35">
      <c r="I48" s="207"/>
      <c r="J48" s="207"/>
      <c r="K48" s="207"/>
      <c r="L48" s="213"/>
      <c r="M48" s="213"/>
      <c r="N48" s="213"/>
      <c r="O48" s="207"/>
      <c r="P48" s="207"/>
      <c r="Q48" s="207"/>
      <c r="R48" s="207"/>
      <c r="S48" s="207"/>
    </row>
    <row r="49" spans="9:19" x14ac:dyDescent="0.35">
      <c r="I49" s="207"/>
      <c r="J49" s="207"/>
      <c r="K49" s="207"/>
      <c r="L49" s="213"/>
      <c r="M49" s="213"/>
      <c r="N49" s="213"/>
      <c r="O49" s="207"/>
      <c r="P49" s="207"/>
      <c r="Q49" s="207"/>
      <c r="R49" s="207"/>
      <c r="S49" s="207"/>
    </row>
  </sheetData>
  <sheetProtection algorithmName="SHA-512" hashValue="wTV+tL4bfhh6rAWiSR2S9O5A5yl+5DlrfF/S+51HKUo50AWENorTrgDcco+u2uFDbZlEYYco5ruuaja/UFID8w==" saltValue="Df8iAodFvTUPz9CwuqWkKA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Q2_Paeds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2"/>
  <sheetViews>
    <sheetView showGridLines="0" zoomScale="90" zoomScaleNormal="90" workbookViewId="0">
      <selection activeCell="B3" sqref="B3"/>
    </sheetView>
  </sheetViews>
  <sheetFormatPr defaultColWidth="0" defaultRowHeight="0" customHeight="1" zeroHeight="1" x14ac:dyDescent="0.35"/>
  <cols>
    <col min="1" max="1" width="4" style="39" customWidth="1"/>
    <col min="2" max="2" width="59.7265625" style="39" customWidth="1"/>
    <col min="3" max="3" width="11.7265625" style="39" customWidth="1"/>
    <col min="4" max="4" width="7.7265625" style="39" customWidth="1"/>
    <col min="5" max="5" width="10" style="39" customWidth="1"/>
    <col min="6" max="7" width="12" style="39" customWidth="1"/>
    <col min="8" max="8" width="5.1796875" style="147" customWidth="1"/>
    <col min="9" max="9" width="6.81640625" style="39" customWidth="1"/>
    <col min="10" max="10" width="5.1796875" style="147" customWidth="1"/>
    <col min="11" max="11" width="6.81640625" style="39" customWidth="1"/>
    <col min="12" max="12" width="5.1796875" style="147" customWidth="1"/>
    <col min="13" max="13" width="6.81640625" style="39" customWidth="1"/>
    <col min="14" max="14" width="5.1796875" style="147" customWidth="1"/>
    <col min="15" max="15" width="6.81640625" style="39" customWidth="1"/>
    <col min="16" max="16" width="11.54296875" style="39" customWidth="1"/>
    <col min="17" max="17" width="5.1796875" style="147" customWidth="1"/>
    <col min="18" max="18" width="6.81640625" style="39" customWidth="1"/>
    <col min="19" max="19" width="5.1796875" style="147" customWidth="1"/>
    <col min="20" max="20" width="6.81640625" style="39" customWidth="1"/>
    <col min="21" max="21" width="5.1796875" style="147" customWidth="1"/>
    <col min="22" max="22" width="6.81640625" style="39" customWidth="1"/>
    <col min="23" max="23" width="5.1796875" style="147" customWidth="1"/>
    <col min="24" max="24" width="6.81640625" style="39" customWidth="1"/>
    <col min="25" max="25" width="11.54296875" style="39" customWidth="1"/>
    <col min="26" max="27" width="10.7265625" style="39" customWidth="1"/>
    <col min="28" max="28" width="9.1796875" style="39" customWidth="1"/>
    <col min="29" max="30" width="0" style="39" hidden="1" customWidth="1"/>
    <col min="31" max="16384" width="9.1796875" style="39" hidden="1"/>
  </cols>
  <sheetData>
    <row r="1" spans="1:28" ht="35.25" customHeight="1" x14ac:dyDescent="0.35">
      <c r="A1" s="15"/>
      <c r="B1" s="118" t="s">
        <v>127</v>
      </c>
      <c r="C1" s="100"/>
      <c r="D1" s="100"/>
      <c r="E1" s="100"/>
      <c r="F1" s="100"/>
      <c r="G1" s="100"/>
      <c r="H1" s="141"/>
      <c r="I1" s="100"/>
      <c r="J1" s="141"/>
      <c r="K1" s="100"/>
      <c r="L1" s="141"/>
      <c r="M1" s="100"/>
      <c r="N1" s="141"/>
      <c r="O1" s="100"/>
      <c r="P1" s="100"/>
      <c r="Q1" s="141"/>
      <c r="R1" s="100"/>
      <c r="S1" s="141"/>
      <c r="T1" s="100"/>
      <c r="U1" s="141"/>
      <c r="V1" s="100"/>
      <c r="W1" s="141"/>
      <c r="X1" s="100"/>
      <c r="Y1" s="100"/>
      <c r="Z1" s="100"/>
      <c r="AA1" s="100"/>
      <c r="AB1" s="100"/>
    </row>
    <row r="2" spans="1:28" s="50" customFormat="1" ht="5.15" customHeight="1" x14ac:dyDescent="0.35">
      <c r="B2" s="148"/>
      <c r="C2" s="149"/>
      <c r="D2" s="149"/>
      <c r="E2" s="149"/>
      <c r="F2" s="149"/>
      <c r="G2" s="149"/>
      <c r="H2" s="150"/>
      <c r="I2" s="149"/>
      <c r="J2" s="150"/>
      <c r="K2" s="149"/>
      <c r="L2" s="150"/>
      <c r="M2" s="149"/>
      <c r="N2" s="150"/>
      <c r="O2" s="149"/>
      <c r="P2" s="149"/>
      <c r="Q2" s="150"/>
      <c r="R2" s="149"/>
      <c r="S2" s="150"/>
      <c r="T2" s="149"/>
      <c r="U2" s="150"/>
      <c r="V2" s="149"/>
      <c r="W2" s="150"/>
      <c r="X2" s="149"/>
      <c r="Y2" s="149"/>
      <c r="AB2" s="149"/>
    </row>
    <row r="3" spans="1:28" s="114" customFormat="1" ht="31.5" customHeight="1" x14ac:dyDescent="0.45">
      <c r="B3" s="501" t="s">
        <v>121</v>
      </c>
      <c r="C3" s="115"/>
      <c r="D3" s="115"/>
      <c r="E3" s="115"/>
      <c r="F3" s="115"/>
      <c r="H3" s="142"/>
      <c r="I3" s="115"/>
      <c r="J3" s="142"/>
      <c r="K3" s="115"/>
      <c r="L3" s="142"/>
      <c r="M3" s="116"/>
      <c r="N3" s="142"/>
      <c r="O3" s="116"/>
      <c r="P3" s="116"/>
      <c r="Q3" s="142"/>
      <c r="R3" s="116"/>
      <c r="S3" s="142"/>
      <c r="T3" s="116"/>
      <c r="U3" s="142"/>
      <c r="V3" s="116"/>
      <c r="W3" s="142"/>
      <c r="X3" s="116"/>
      <c r="Y3" s="116"/>
      <c r="Z3" s="115"/>
      <c r="AA3" s="117"/>
    </row>
    <row r="4" spans="1:28" ht="35.5" customHeight="1" thickBot="1" x14ac:dyDescent="0.6">
      <c r="B4" s="152" t="s">
        <v>219</v>
      </c>
      <c r="C4" s="18"/>
      <c r="D4" s="18"/>
      <c r="E4" s="18"/>
      <c r="F4" s="51"/>
      <c r="G4" s="18"/>
      <c r="H4" s="143"/>
      <c r="I4" s="18"/>
      <c r="J4" s="143"/>
      <c r="K4" s="18"/>
      <c r="L4" s="143"/>
      <c r="M4" s="19"/>
      <c r="N4" s="143"/>
      <c r="O4" s="19"/>
      <c r="P4" s="19"/>
      <c r="Q4" s="143"/>
      <c r="R4" s="19"/>
      <c r="S4" s="143"/>
      <c r="T4" s="19"/>
      <c r="U4" s="143"/>
      <c r="V4" s="19"/>
      <c r="W4" s="143"/>
      <c r="X4" s="19"/>
      <c r="Y4" s="19"/>
      <c r="Z4" s="18"/>
      <c r="AA4" s="20"/>
    </row>
    <row r="5" spans="1:28" ht="30.75" customHeight="1" thickTop="1" thickBot="1" x14ac:dyDescent="0.4">
      <c r="B5" s="372" t="s">
        <v>18</v>
      </c>
      <c r="C5" s="373" t="s">
        <v>22</v>
      </c>
      <c r="D5" s="373" t="s">
        <v>91</v>
      </c>
      <c r="E5" s="373" t="s">
        <v>23</v>
      </c>
      <c r="F5" s="333" t="s">
        <v>28</v>
      </c>
      <c r="G5" s="334"/>
      <c r="H5" s="333" t="s">
        <v>31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3" t="s">
        <v>4</v>
      </c>
      <c r="AA5" s="334"/>
    </row>
    <row r="6" spans="1:28" ht="44.15" customHeight="1" thickTop="1" thickBot="1" x14ac:dyDescent="0.4">
      <c r="B6" s="372"/>
      <c r="C6" s="374"/>
      <c r="D6" s="374"/>
      <c r="E6" s="374"/>
      <c r="F6" s="335" t="s">
        <v>29</v>
      </c>
      <c r="G6" s="337" t="s">
        <v>30</v>
      </c>
      <c r="H6" s="333" t="s">
        <v>36</v>
      </c>
      <c r="I6" s="339"/>
      <c r="J6" s="339"/>
      <c r="K6" s="339"/>
      <c r="L6" s="339"/>
      <c r="M6" s="339"/>
      <c r="N6" s="339"/>
      <c r="O6" s="339"/>
      <c r="P6" s="339"/>
      <c r="Q6" s="333" t="s">
        <v>35</v>
      </c>
      <c r="R6" s="339"/>
      <c r="S6" s="339"/>
      <c r="T6" s="339"/>
      <c r="U6" s="339"/>
      <c r="V6" s="339"/>
      <c r="W6" s="339"/>
      <c r="X6" s="339"/>
      <c r="Y6" s="339"/>
      <c r="Z6" s="335" t="s">
        <v>13</v>
      </c>
      <c r="AA6" s="337" t="s">
        <v>21</v>
      </c>
    </row>
    <row r="7" spans="1:28" ht="51.75" customHeight="1" thickTop="1" thickBot="1" x14ac:dyDescent="0.4">
      <c r="B7" s="372"/>
      <c r="C7" s="375"/>
      <c r="D7" s="375"/>
      <c r="E7" s="375"/>
      <c r="F7" s="336"/>
      <c r="G7" s="338"/>
      <c r="H7" s="340" t="s">
        <v>146</v>
      </c>
      <c r="I7" s="341"/>
      <c r="J7" s="342" t="s">
        <v>32</v>
      </c>
      <c r="K7" s="342"/>
      <c r="L7" s="342" t="s">
        <v>33</v>
      </c>
      <c r="M7" s="342"/>
      <c r="N7" s="343" t="s">
        <v>34</v>
      </c>
      <c r="O7" s="342"/>
      <c r="P7" s="266" t="s">
        <v>147</v>
      </c>
      <c r="Q7" s="340" t="s">
        <v>146</v>
      </c>
      <c r="R7" s="341"/>
      <c r="S7" s="342" t="s">
        <v>32</v>
      </c>
      <c r="T7" s="342"/>
      <c r="U7" s="342" t="s">
        <v>33</v>
      </c>
      <c r="V7" s="342"/>
      <c r="W7" s="343" t="s">
        <v>34</v>
      </c>
      <c r="X7" s="342"/>
      <c r="Y7" s="266" t="s">
        <v>147</v>
      </c>
      <c r="Z7" s="336"/>
      <c r="AA7" s="338"/>
    </row>
    <row r="8" spans="1:28" s="99" customFormat="1" ht="21.75" customHeight="1" thickTop="1" thickBot="1" x14ac:dyDescent="0.4">
      <c r="B8" s="33" t="s">
        <v>201</v>
      </c>
      <c r="C8" s="33" t="s">
        <v>27</v>
      </c>
      <c r="D8" s="75">
        <v>1</v>
      </c>
      <c r="E8" s="33" t="s">
        <v>25</v>
      </c>
      <c r="F8" s="247">
        <f>INDEX(Q3_Paeds,15,7)</f>
        <v>69</v>
      </c>
      <c r="G8" s="247">
        <f>INDEX(Q3_Paeds,15,8)</f>
        <v>0</v>
      </c>
      <c r="H8" s="233">
        <f>INDEX(Q3_Paeds,15,9)</f>
        <v>551</v>
      </c>
      <c r="I8" s="234">
        <f>IFERROR(H8/P8,0)</f>
        <v>0.39385275196568975</v>
      </c>
      <c r="J8" s="235">
        <f>INDEX(Q3_Paeds,15,10)</f>
        <v>412</v>
      </c>
      <c r="K8" s="234">
        <f>IFERROR(J8/P8,0)</f>
        <v>0.2944960686204432</v>
      </c>
      <c r="L8" s="235">
        <f>INDEX(Q3_Paeds,15,11)</f>
        <v>325</v>
      </c>
      <c r="M8" s="234">
        <f>IFERROR(L8/P8,0)</f>
        <v>0.23230879199428162</v>
      </c>
      <c r="N8" s="235">
        <f>INDEX(Q3_Paeds,15,12)</f>
        <v>111</v>
      </c>
      <c r="O8" s="234">
        <f>IFERROR(N8/P8,0)</f>
        <v>7.9342387419585422E-2</v>
      </c>
      <c r="P8" s="236">
        <f>INDEX(Q3_Paeds,15,13)</f>
        <v>1399</v>
      </c>
      <c r="Q8" s="233">
        <f>INDEX(Q3_Paeds,15,15)</f>
        <v>0</v>
      </c>
      <c r="R8" s="234">
        <f>IFERROR(Q8/Y8,0)</f>
        <v>0</v>
      </c>
      <c r="S8" s="235">
        <f>INDEX(Q3_Paeds,15,16)</f>
        <v>0</v>
      </c>
      <c r="T8" s="234">
        <f>IFERROR(S8/Y8,0)</f>
        <v>0</v>
      </c>
      <c r="U8" s="237">
        <f>INDEX(Q3_Paeds,15,17)</f>
        <v>0</v>
      </c>
      <c r="V8" s="234">
        <f>IFERROR(U8/Y8,0)</f>
        <v>0</v>
      </c>
      <c r="W8" s="235">
        <f>INDEX(Q3_Paeds,15,18)</f>
        <v>0</v>
      </c>
      <c r="X8" s="234">
        <f>IFERROR(W8/Y8,0)</f>
        <v>0</v>
      </c>
      <c r="Y8" s="236">
        <f>INDEX(Q3_Paeds,15,19)</f>
        <v>0</v>
      </c>
      <c r="Z8" s="248">
        <f>INDEX(Q3_Paeds,15,21)</f>
        <v>0.09</v>
      </c>
      <c r="AA8" s="249">
        <f>INDEX(Q3_Paeds,15,22)</f>
        <v>0</v>
      </c>
    </row>
    <row r="9" spans="1:28" s="13" customFormat="1" ht="21.75" customHeight="1" thickTop="1" thickBot="1" x14ac:dyDescent="0.4">
      <c r="B9" s="34" t="s">
        <v>196</v>
      </c>
      <c r="C9" s="34" t="s">
        <v>27</v>
      </c>
      <c r="D9" s="76">
        <v>2</v>
      </c>
      <c r="E9" s="34" t="s">
        <v>26</v>
      </c>
      <c r="F9" s="250">
        <f>INDEX(Q3_Paeds,6,7)</f>
        <v>0</v>
      </c>
      <c r="G9" s="251">
        <f>INDEX(Q3_Paeds,6,8)</f>
        <v>0</v>
      </c>
      <c r="H9" s="238">
        <f>INDEX(Q3_Paeds,6,9)</f>
        <v>227</v>
      </c>
      <c r="I9" s="239">
        <f>IFERROR(H9/P9,0)</f>
        <v>0.26334106728538281</v>
      </c>
      <c r="J9" s="240">
        <f>INDEX(Q3_Paeds,6,10)</f>
        <v>242</v>
      </c>
      <c r="K9" s="239">
        <f>IFERROR(J9/P9,0)</f>
        <v>0.28074245939675174</v>
      </c>
      <c r="L9" s="240">
        <f>INDEX(Q3_Paeds,6,11)</f>
        <v>208</v>
      </c>
      <c r="M9" s="239">
        <f>IFERROR(L9/P9,0)</f>
        <v>0.24129930394431554</v>
      </c>
      <c r="N9" s="240">
        <f>INDEX(Q3_Paeds,6,12)</f>
        <v>185</v>
      </c>
      <c r="O9" s="239">
        <f>IFERROR(N9/P9,0)</f>
        <v>0.21461716937354988</v>
      </c>
      <c r="P9" s="241">
        <f>INDEX(Q3_Paeds,6,13)</f>
        <v>862</v>
      </c>
      <c r="Q9" s="242">
        <f>INDEX(Q3_Paeds,6,15)</f>
        <v>0</v>
      </c>
      <c r="R9" s="239">
        <f>IFERROR(Q9/Y9,0)</f>
        <v>0</v>
      </c>
      <c r="S9" s="240">
        <f>INDEX(Q3_Paeds,6,16)</f>
        <v>0</v>
      </c>
      <c r="T9" s="239">
        <f>IFERROR(S9/Y9,0)</f>
        <v>0</v>
      </c>
      <c r="U9" s="243">
        <f>INDEX(Q3_Paeds,6,17)</f>
        <v>0</v>
      </c>
      <c r="V9" s="239">
        <f>IFERROR(U9/Y9,0)</f>
        <v>0</v>
      </c>
      <c r="W9" s="240">
        <f>INDEX(Q3_Paeds,6,18)</f>
        <v>0</v>
      </c>
      <c r="X9" s="239">
        <f>IFERROR(W9/Y9,0)</f>
        <v>0</v>
      </c>
      <c r="Y9" s="241">
        <f>INDEX(Q3_Paeds,6,19)</f>
        <v>0</v>
      </c>
      <c r="Z9" s="252">
        <f>INDEX(Q3_Paeds,6,21)</f>
        <v>7.0000000000000007E-2</v>
      </c>
      <c r="AA9" s="253">
        <f>INDEX(Q3_Paeds,6,22)</f>
        <v>0</v>
      </c>
    </row>
    <row r="10" spans="1:28" s="13" customFormat="1" ht="21.75" customHeight="1" thickTop="1" thickBot="1" x14ac:dyDescent="0.4">
      <c r="B10" s="31" t="s">
        <v>195</v>
      </c>
      <c r="C10" s="31" t="s">
        <v>27</v>
      </c>
      <c r="D10" s="73">
        <v>3</v>
      </c>
      <c r="E10" s="31" t="s">
        <v>26</v>
      </c>
      <c r="F10" s="247">
        <f>INDEX(Q3_Paeds,5,7)</f>
        <v>21</v>
      </c>
      <c r="G10" s="254">
        <f>INDEX(Q3_Paeds,5,8)</f>
        <v>25</v>
      </c>
      <c r="H10" s="244" t="str">
        <f>INDEX(Q3_Paeds,5,9)</f>
        <v>No data</v>
      </c>
      <c r="I10" s="234">
        <f>IFERROR(H10/P10,0)</f>
        <v>0</v>
      </c>
      <c r="J10" s="235" t="str">
        <f>INDEX(Q3_Paeds,5,10)</f>
        <v>No data</v>
      </c>
      <c r="K10" s="234">
        <f>IFERROR(J10/P10,0)</f>
        <v>0</v>
      </c>
      <c r="L10" s="235" t="str">
        <f>INDEX(Q3_Paeds,5,11)</f>
        <v>No data</v>
      </c>
      <c r="M10" s="234">
        <f>IFERROR(L10/P10,0)</f>
        <v>0</v>
      </c>
      <c r="N10" s="235" t="str">
        <f>INDEX(Q3_Paeds,5,12)</f>
        <v>No data</v>
      </c>
      <c r="O10" s="234">
        <f>IFERROR(N10/P10,0)</f>
        <v>0</v>
      </c>
      <c r="P10" s="236" t="str">
        <f>INDEX(Q3_Paeds,5,13)</f>
        <v>No data</v>
      </c>
      <c r="Q10" s="233" t="str">
        <f>INDEX(Q3_Paeds,5,15)</f>
        <v>No data</v>
      </c>
      <c r="R10" s="234">
        <f>IFERROR(Q10/Y10,0)</f>
        <v>0</v>
      </c>
      <c r="S10" s="235" t="str">
        <f>INDEX(Q3_Paeds,5,16)</f>
        <v>No data</v>
      </c>
      <c r="T10" s="234">
        <f>IFERROR(S10/Y10,0)</f>
        <v>0</v>
      </c>
      <c r="U10" s="237" t="str">
        <f>INDEX(Q3_Paeds,5,17)</f>
        <v>No data</v>
      </c>
      <c r="V10" s="234">
        <f>IFERROR(U10/Y10,0)</f>
        <v>0</v>
      </c>
      <c r="W10" s="235" t="str">
        <f>INDEX(Q3_Paeds,5,18)</f>
        <v>No data</v>
      </c>
      <c r="X10" s="234">
        <f>IFERROR(W10/Y10,0)</f>
        <v>0</v>
      </c>
      <c r="Y10" s="236" t="str">
        <f>INDEX(Q3_Paeds,5,19)</f>
        <v>No data</v>
      </c>
      <c r="Z10" s="248">
        <f>INDEX(Q3_Paeds,5,21)</f>
        <v>0.105</v>
      </c>
      <c r="AA10" s="249">
        <f>INDEX(Q3_Paeds,5,22)</f>
        <v>0.09</v>
      </c>
    </row>
    <row r="11" spans="1:28" s="13" customFormat="1" ht="21.75" customHeight="1" thickTop="1" thickBot="1" x14ac:dyDescent="0.4">
      <c r="B11" s="35" t="s">
        <v>197</v>
      </c>
      <c r="C11" s="35" t="s">
        <v>27</v>
      </c>
      <c r="D11" s="77">
        <v>3</v>
      </c>
      <c r="E11" s="35" t="s">
        <v>26</v>
      </c>
      <c r="F11" s="250">
        <f>INDEX(Q3_Paeds,7,7)</f>
        <v>4</v>
      </c>
      <c r="G11" s="251">
        <f>INDEX(Q3_Paeds,7,8)</f>
        <v>8</v>
      </c>
      <c r="H11" s="238">
        <f>INDEX(Q3_Paeds,7,9)</f>
        <v>20</v>
      </c>
      <c r="I11" s="239">
        <f t="shared" ref="I11:I25" si="0">IFERROR(H11/P11,0)</f>
        <v>1</v>
      </c>
      <c r="J11" s="240">
        <f>INDEX(Q3_Paeds,7,10)</f>
        <v>0</v>
      </c>
      <c r="K11" s="239">
        <f t="shared" ref="K11:K25" si="1">IFERROR(J11/P11,0)</f>
        <v>0</v>
      </c>
      <c r="L11" s="240">
        <f>INDEX(Q3_Paeds,7,11)</f>
        <v>0</v>
      </c>
      <c r="M11" s="239">
        <f t="shared" ref="M11:M25" si="2">IFERROR(L11/P11,0)</f>
        <v>0</v>
      </c>
      <c r="N11" s="240">
        <f>INDEX(Q3_Paeds,7,12)</f>
        <v>0</v>
      </c>
      <c r="O11" s="239">
        <f t="shared" ref="O11:O25" si="3">IFERROR(N11/P11,0)</f>
        <v>0</v>
      </c>
      <c r="P11" s="241">
        <f>INDEX(Q3_Paeds,7,13)</f>
        <v>20</v>
      </c>
      <c r="Q11" s="242">
        <f>INDEX(Q3_Paeds,7,15)</f>
        <v>100</v>
      </c>
      <c r="R11" s="239">
        <f t="shared" ref="R11:R25" si="4">IFERROR(Q11/Y11,0)</f>
        <v>0.625</v>
      </c>
      <c r="S11" s="240">
        <f>INDEX(Q3_Paeds,7,16)</f>
        <v>40</v>
      </c>
      <c r="T11" s="239">
        <f t="shared" ref="T11:T25" si="5">IFERROR(S11/Y11,0)</f>
        <v>0.25</v>
      </c>
      <c r="U11" s="243">
        <f>INDEX(Q3_Paeds,7,17)</f>
        <v>20</v>
      </c>
      <c r="V11" s="239">
        <f t="shared" ref="V11:V25" si="6">IFERROR(U11/Y11,0)</f>
        <v>0.125</v>
      </c>
      <c r="W11" s="240">
        <f>INDEX(Q3_Paeds,7,18)</f>
        <v>0</v>
      </c>
      <c r="X11" s="239">
        <f t="shared" ref="X11:X25" si="7">IFERROR(W11/Y11,0)</f>
        <v>0</v>
      </c>
      <c r="Y11" s="241">
        <f>INDEX(Q3_Paeds,7,19)</f>
        <v>160</v>
      </c>
      <c r="Z11" s="252">
        <f>INDEX(Q3_Paeds,7,21)</f>
        <v>0.2</v>
      </c>
      <c r="AA11" s="253">
        <f>INDEX(Q3_Paeds,7,22)</f>
        <v>0.05</v>
      </c>
    </row>
    <row r="12" spans="1:28" s="13" customFormat="1" ht="21.75" customHeight="1" thickTop="1" thickBot="1" x14ac:dyDescent="0.4">
      <c r="B12" s="33" t="s">
        <v>198</v>
      </c>
      <c r="C12" s="33" t="s">
        <v>27</v>
      </c>
      <c r="D12" s="75">
        <v>3</v>
      </c>
      <c r="E12" s="33" t="s">
        <v>26</v>
      </c>
      <c r="F12" s="247">
        <f>INDEX(Q3_Paeds,8,7)</f>
        <v>10.97</v>
      </c>
      <c r="G12" s="254">
        <f>INDEX(Q3_Paeds,8,8)</f>
        <v>24</v>
      </c>
      <c r="H12" s="244">
        <f>INDEX(Q3_Paeds,8,9)</f>
        <v>2</v>
      </c>
      <c r="I12" s="234">
        <f t="shared" si="0"/>
        <v>0.5</v>
      </c>
      <c r="J12" s="235">
        <f>INDEX(Q3_Paeds,8,10)</f>
        <v>2</v>
      </c>
      <c r="K12" s="234">
        <f t="shared" si="1"/>
        <v>0.5</v>
      </c>
      <c r="L12" s="235">
        <f>INDEX(Q3_Paeds,8,11)</f>
        <v>0</v>
      </c>
      <c r="M12" s="234">
        <f t="shared" si="2"/>
        <v>0</v>
      </c>
      <c r="N12" s="235">
        <f>INDEX(Q3_Paeds,8,12)</f>
        <v>0</v>
      </c>
      <c r="O12" s="234">
        <f t="shared" si="3"/>
        <v>0</v>
      </c>
      <c r="P12" s="236">
        <f>INDEX(Q3_Paeds,8,13)</f>
        <v>4</v>
      </c>
      <c r="Q12" s="233">
        <f>INDEX(Q3_Paeds,8,15)</f>
        <v>1</v>
      </c>
      <c r="R12" s="234">
        <f t="shared" si="4"/>
        <v>0.125</v>
      </c>
      <c r="S12" s="235">
        <f>INDEX(Q3_Paeds,8,16)</f>
        <v>2</v>
      </c>
      <c r="T12" s="234">
        <f t="shared" si="5"/>
        <v>0.25</v>
      </c>
      <c r="U12" s="237">
        <f>INDEX(Q3_Paeds,8,17)</f>
        <v>5</v>
      </c>
      <c r="V12" s="234">
        <f t="shared" si="6"/>
        <v>0.625</v>
      </c>
      <c r="W12" s="235">
        <f>INDEX(Q3_Paeds,8,18)</f>
        <v>0</v>
      </c>
      <c r="X12" s="234">
        <f t="shared" si="7"/>
        <v>0</v>
      </c>
      <c r="Y12" s="236">
        <f>INDEX(Q3_Paeds,8,19)</f>
        <v>8</v>
      </c>
      <c r="Z12" s="248">
        <f>INDEX(Q3_Paeds,8,21)</f>
        <v>0.27</v>
      </c>
      <c r="AA12" s="249">
        <f>INDEX(Q3_Paeds,8,22)</f>
        <v>0.04</v>
      </c>
    </row>
    <row r="13" spans="1:28" s="13" customFormat="1" ht="21.75" customHeight="1" thickTop="1" thickBot="1" x14ac:dyDescent="0.4">
      <c r="B13" s="34" t="s">
        <v>199</v>
      </c>
      <c r="C13" s="34" t="s">
        <v>27</v>
      </c>
      <c r="D13" s="76">
        <v>3</v>
      </c>
      <c r="E13" s="34" t="s">
        <v>26</v>
      </c>
      <c r="F13" s="250">
        <f>INDEX(Q3_Paeds,9,7)</f>
        <v>11.96</v>
      </c>
      <c r="G13" s="251">
        <f>INDEX(Q3_Paeds,9,8)</f>
        <v>14.6</v>
      </c>
      <c r="H13" s="238">
        <f>INDEX(Q3_Paeds,9,9)</f>
        <v>7</v>
      </c>
      <c r="I13" s="239">
        <f t="shared" si="0"/>
        <v>0.4375</v>
      </c>
      <c r="J13" s="240">
        <f>INDEX(Q3_Paeds,9,10)</f>
        <v>1</v>
      </c>
      <c r="K13" s="239">
        <f t="shared" si="1"/>
        <v>6.25E-2</v>
      </c>
      <c r="L13" s="240">
        <f>INDEX(Q3_Paeds,9,11)</f>
        <v>4</v>
      </c>
      <c r="M13" s="239">
        <f t="shared" si="2"/>
        <v>0.25</v>
      </c>
      <c r="N13" s="240">
        <f>INDEX(Q3_Paeds,9,12)</f>
        <v>4</v>
      </c>
      <c r="O13" s="239">
        <f t="shared" si="3"/>
        <v>0.25</v>
      </c>
      <c r="P13" s="241">
        <f>INDEX(Q3_Paeds,9,13)</f>
        <v>16</v>
      </c>
      <c r="Q13" s="242">
        <f>INDEX(Q3_Paeds,9,15)</f>
        <v>17</v>
      </c>
      <c r="R13" s="239">
        <f t="shared" si="4"/>
        <v>0.32075471698113206</v>
      </c>
      <c r="S13" s="240">
        <f>INDEX(Q3_Paeds,9,16)</f>
        <v>22</v>
      </c>
      <c r="T13" s="239">
        <f t="shared" si="5"/>
        <v>0.41509433962264153</v>
      </c>
      <c r="U13" s="243">
        <f>INDEX(Q3_Paeds,9,17)</f>
        <v>12</v>
      </c>
      <c r="V13" s="239">
        <f t="shared" si="6"/>
        <v>0.22641509433962265</v>
      </c>
      <c r="W13" s="240">
        <f>INDEX(Q3_Paeds,9,18)</f>
        <v>2</v>
      </c>
      <c r="X13" s="239">
        <f t="shared" si="7"/>
        <v>3.7735849056603772E-2</v>
      </c>
      <c r="Y13" s="241">
        <f>INDEX(Q3_Paeds,9,19)</f>
        <v>53</v>
      </c>
      <c r="Z13" s="252">
        <f>INDEX(Q3_Paeds,9,21)</f>
        <v>0.4</v>
      </c>
      <c r="AA13" s="253">
        <f>INDEX(Q3_Paeds,9,22)</f>
        <v>0.22</v>
      </c>
    </row>
    <row r="14" spans="1:28" s="13" customFormat="1" ht="21.75" customHeight="1" thickTop="1" thickBot="1" x14ac:dyDescent="0.4">
      <c r="B14" s="33" t="s">
        <v>202</v>
      </c>
      <c r="C14" s="33" t="s">
        <v>27</v>
      </c>
      <c r="D14" s="75">
        <v>3</v>
      </c>
      <c r="E14" s="33" t="s">
        <v>26</v>
      </c>
      <c r="F14" s="247">
        <f>INDEX(Q3_Paeds,10,7)</f>
        <v>35</v>
      </c>
      <c r="G14" s="254">
        <f>INDEX(Q3_Paeds,10,8)</f>
        <v>38</v>
      </c>
      <c r="H14" s="244">
        <f>INDEX(Q3_Paeds,10,9)</f>
        <v>2</v>
      </c>
      <c r="I14" s="234">
        <f t="shared" si="0"/>
        <v>1</v>
      </c>
      <c r="J14" s="235">
        <f>INDEX(Q3_Paeds,10,10)</f>
        <v>0</v>
      </c>
      <c r="K14" s="234">
        <f t="shared" si="1"/>
        <v>0</v>
      </c>
      <c r="L14" s="235">
        <f>INDEX(Q3_Paeds,10,11)</f>
        <v>0</v>
      </c>
      <c r="M14" s="234">
        <f t="shared" si="2"/>
        <v>0</v>
      </c>
      <c r="N14" s="235">
        <f>INDEX(Q3_Paeds,10,12)</f>
        <v>0</v>
      </c>
      <c r="O14" s="234">
        <f t="shared" si="3"/>
        <v>0</v>
      </c>
      <c r="P14" s="236">
        <f>INDEX(Q3_Paeds,10,13)</f>
        <v>2</v>
      </c>
      <c r="Q14" s="233">
        <f>INDEX(Q3_Paeds,10,15)</f>
        <v>34</v>
      </c>
      <c r="R14" s="234">
        <f t="shared" si="4"/>
        <v>0.59649122807017541</v>
      </c>
      <c r="S14" s="235">
        <f>INDEX(Q3_Paeds,10,16)</f>
        <v>20</v>
      </c>
      <c r="T14" s="234">
        <f t="shared" si="5"/>
        <v>0.35087719298245612</v>
      </c>
      <c r="U14" s="237">
        <f>INDEX(Q3_Paeds,10,17)</f>
        <v>3</v>
      </c>
      <c r="V14" s="234">
        <f t="shared" si="6"/>
        <v>5.2631578947368418E-2</v>
      </c>
      <c r="W14" s="235">
        <f>INDEX(Q3_Paeds,10,18)</f>
        <v>0</v>
      </c>
      <c r="X14" s="234">
        <f t="shared" si="7"/>
        <v>0</v>
      </c>
      <c r="Y14" s="236">
        <f>INDEX(Q3_Paeds,10,19)</f>
        <v>57</v>
      </c>
      <c r="Z14" s="248">
        <f>INDEX(Q3_Paeds,10,21)</f>
        <v>0</v>
      </c>
      <c r="AA14" s="249">
        <f>INDEX(Q3_Paeds,10,22)</f>
        <v>0</v>
      </c>
    </row>
    <row r="15" spans="1:28" s="13" customFormat="1" ht="21.75" customHeight="1" thickTop="1" thickBot="1" x14ac:dyDescent="0.4">
      <c r="B15" s="34" t="s">
        <v>203</v>
      </c>
      <c r="C15" s="34" t="s">
        <v>27</v>
      </c>
      <c r="D15" s="76">
        <v>3</v>
      </c>
      <c r="E15" s="34" t="s">
        <v>26</v>
      </c>
      <c r="F15" s="250">
        <f>INDEX(Q3_Paeds,11,7)</f>
        <v>24</v>
      </c>
      <c r="G15" s="251">
        <f>INDEX(Q3_Paeds,11,8)</f>
        <v>48</v>
      </c>
      <c r="H15" s="238">
        <f>INDEX(Q3_Paeds,11,9)</f>
        <v>4</v>
      </c>
      <c r="I15" s="239">
        <f t="shared" si="0"/>
        <v>0.5</v>
      </c>
      <c r="J15" s="240">
        <f>INDEX(Q3_Paeds,11,10)</f>
        <v>3</v>
      </c>
      <c r="K15" s="239">
        <f t="shared" si="1"/>
        <v>0.375</v>
      </c>
      <c r="L15" s="240">
        <f>INDEX(Q3_Paeds,11,11)</f>
        <v>1</v>
      </c>
      <c r="M15" s="239">
        <f t="shared" si="2"/>
        <v>0.125</v>
      </c>
      <c r="N15" s="240">
        <f>INDEX(Q3_Paeds,11,12)</f>
        <v>0</v>
      </c>
      <c r="O15" s="239">
        <f t="shared" si="3"/>
        <v>0</v>
      </c>
      <c r="P15" s="241">
        <f>INDEX(Q3_Paeds,11,13)</f>
        <v>8</v>
      </c>
      <c r="Q15" s="242">
        <f>INDEX(Q3_Paeds,11,15)</f>
        <v>14</v>
      </c>
      <c r="R15" s="239">
        <f t="shared" si="4"/>
        <v>0.4</v>
      </c>
      <c r="S15" s="240">
        <f>INDEX(Q3_Paeds,11,16)</f>
        <v>12</v>
      </c>
      <c r="T15" s="239">
        <f t="shared" si="5"/>
        <v>0.34285714285714286</v>
      </c>
      <c r="U15" s="243">
        <f>INDEX(Q3_Paeds,11,17)</f>
        <v>4</v>
      </c>
      <c r="V15" s="239">
        <f t="shared" si="6"/>
        <v>0.11428571428571428</v>
      </c>
      <c r="W15" s="240">
        <f>INDEX(Q3_Paeds,11,18)</f>
        <v>5</v>
      </c>
      <c r="X15" s="239">
        <f t="shared" si="7"/>
        <v>0.14285714285714285</v>
      </c>
      <c r="Y15" s="241">
        <f>INDEX(Q3_Paeds,11,19)</f>
        <v>35</v>
      </c>
      <c r="Z15" s="252">
        <f>INDEX(Q3_Paeds,11,21)</f>
        <v>0</v>
      </c>
      <c r="AA15" s="253">
        <f>INDEX(Q3_Paeds,11,22)</f>
        <v>0</v>
      </c>
    </row>
    <row r="16" spans="1:28" s="13" customFormat="1" ht="21.75" customHeight="1" thickTop="1" thickBot="1" x14ac:dyDescent="0.4">
      <c r="B16" s="36" t="s">
        <v>200</v>
      </c>
      <c r="C16" s="36" t="s">
        <v>27</v>
      </c>
      <c r="D16" s="78">
        <v>3</v>
      </c>
      <c r="E16" s="36" t="s">
        <v>26</v>
      </c>
      <c r="F16" s="247">
        <f>INDEX(Q3_Paeds,12,7)</f>
        <v>11</v>
      </c>
      <c r="G16" s="254">
        <f>INDEX(Q3_Paeds,12,8)</f>
        <v>17</v>
      </c>
      <c r="H16" s="244">
        <f>INDEX(Q3_Paeds,12,9)</f>
        <v>4</v>
      </c>
      <c r="I16" s="234">
        <f t="shared" si="0"/>
        <v>1</v>
      </c>
      <c r="J16" s="235">
        <f>INDEX(Q3_Paeds,12,10)</f>
        <v>0</v>
      </c>
      <c r="K16" s="234">
        <f t="shared" si="1"/>
        <v>0</v>
      </c>
      <c r="L16" s="235">
        <f>INDEX(Q3_Paeds,12,11)</f>
        <v>0</v>
      </c>
      <c r="M16" s="234">
        <f t="shared" si="2"/>
        <v>0</v>
      </c>
      <c r="N16" s="235">
        <f>INDEX(Q3_Paeds,12,12)</f>
        <v>0</v>
      </c>
      <c r="O16" s="234">
        <f t="shared" si="3"/>
        <v>0</v>
      </c>
      <c r="P16" s="236">
        <f>INDEX(Q3_Paeds,12,13)</f>
        <v>4</v>
      </c>
      <c r="Q16" s="233">
        <f>INDEX(Q3_Paeds,12,15)</f>
        <v>39</v>
      </c>
      <c r="R16" s="234">
        <f t="shared" si="4"/>
        <v>0.46987951807228917</v>
      </c>
      <c r="S16" s="235">
        <f>INDEX(Q3_Paeds,12,16)</f>
        <v>39</v>
      </c>
      <c r="T16" s="234">
        <f t="shared" si="5"/>
        <v>0.46987951807228917</v>
      </c>
      <c r="U16" s="237">
        <f>INDEX(Q3_Paeds,12,17)</f>
        <v>4</v>
      </c>
      <c r="V16" s="234">
        <f t="shared" si="6"/>
        <v>4.8192771084337352E-2</v>
      </c>
      <c r="W16" s="235">
        <f>INDEX(Q3_Paeds,12,18)</f>
        <v>1</v>
      </c>
      <c r="X16" s="234">
        <f t="shared" si="7"/>
        <v>1.2048192771084338E-2</v>
      </c>
      <c r="Y16" s="236">
        <f>INDEX(Q3_Paeds,12,19)</f>
        <v>83</v>
      </c>
      <c r="Z16" s="248" t="str">
        <f>INDEX(Q3_Paeds,12,21)</f>
        <v>No data</v>
      </c>
      <c r="AA16" s="249" t="str">
        <f>INDEX(Q3_Paeds,12,22)</f>
        <v>No data</v>
      </c>
    </row>
    <row r="17" spans="2:27" s="13" customFormat="1" ht="21.75" customHeight="1" thickTop="1" thickBot="1" x14ac:dyDescent="0.4">
      <c r="B17" s="34" t="s">
        <v>82</v>
      </c>
      <c r="C17" s="34" t="s">
        <v>27</v>
      </c>
      <c r="D17" s="76">
        <v>3</v>
      </c>
      <c r="E17" s="34" t="s">
        <v>25</v>
      </c>
      <c r="F17" s="250" t="str">
        <f>INDEX(Q3_Paeds,13,7)</f>
        <v>No data</v>
      </c>
      <c r="G17" s="251" t="str">
        <f>INDEX(Q3_Paeds,13,8)</f>
        <v>No data</v>
      </c>
      <c r="H17" s="238" t="str">
        <f>INDEX(Q3_Paeds,13,9)</f>
        <v>No data</v>
      </c>
      <c r="I17" s="239">
        <f t="shared" si="0"/>
        <v>0</v>
      </c>
      <c r="J17" s="240" t="str">
        <f>INDEX(Q3_Paeds,13,10)</f>
        <v>No data</v>
      </c>
      <c r="K17" s="239">
        <f t="shared" si="1"/>
        <v>0</v>
      </c>
      <c r="L17" s="240" t="str">
        <f>INDEX(Q3_Paeds,13,11)</f>
        <v>No data</v>
      </c>
      <c r="M17" s="239">
        <f t="shared" si="2"/>
        <v>0</v>
      </c>
      <c r="N17" s="240" t="str">
        <f>INDEX(Q3_Paeds,13,12)</f>
        <v>No data</v>
      </c>
      <c r="O17" s="239">
        <f t="shared" si="3"/>
        <v>0</v>
      </c>
      <c r="P17" s="241" t="str">
        <f>INDEX(Q3_Paeds,13,13)</f>
        <v>No data</v>
      </c>
      <c r="Q17" s="242" t="str">
        <f>INDEX(Q3_Paeds,13,15)</f>
        <v>No data</v>
      </c>
      <c r="R17" s="239">
        <f t="shared" si="4"/>
        <v>0</v>
      </c>
      <c r="S17" s="240" t="str">
        <f>INDEX(Q3_Paeds,13,16)</f>
        <v>No data</v>
      </c>
      <c r="T17" s="239">
        <f t="shared" si="5"/>
        <v>0</v>
      </c>
      <c r="U17" s="243" t="str">
        <f>INDEX(Q3_Paeds,13,17)</f>
        <v>No data</v>
      </c>
      <c r="V17" s="239">
        <f t="shared" si="6"/>
        <v>0</v>
      </c>
      <c r="W17" s="240" t="str">
        <f>INDEX(Q3_Paeds,13,18)</f>
        <v>No data</v>
      </c>
      <c r="X17" s="239">
        <f t="shared" si="7"/>
        <v>0</v>
      </c>
      <c r="Y17" s="241" t="str">
        <f>INDEX(Q3_Paeds,13,19)</f>
        <v>No data</v>
      </c>
      <c r="Z17" s="252" t="str">
        <f>INDEX(Q3_Paeds,13,21)</f>
        <v>No data</v>
      </c>
      <c r="AA17" s="253" t="str">
        <f>INDEX(Q3_Paeds,13,22)</f>
        <v>No data</v>
      </c>
    </row>
    <row r="18" spans="2:27" s="13" customFormat="1" ht="21.75" customHeight="1" thickTop="1" thickBot="1" x14ac:dyDescent="0.4">
      <c r="B18" s="33" t="s">
        <v>83</v>
      </c>
      <c r="C18" s="33" t="s">
        <v>27</v>
      </c>
      <c r="D18" s="75">
        <v>3</v>
      </c>
      <c r="E18" s="33" t="s">
        <v>25</v>
      </c>
      <c r="F18" s="247">
        <f>INDEX(Q3_Paeds,14,7)</f>
        <v>24</v>
      </c>
      <c r="G18" s="254">
        <f>INDEX(Q3_Paeds,14,8)</f>
        <v>8</v>
      </c>
      <c r="H18" s="244">
        <f>INDEX(Q3_Paeds,14,9)</f>
        <v>10</v>
      </c>
      <c r="I18" s="234">
        <f t="shared" si="0"/>
        <v>0.55555555555555558</v>
      </c>
      <c r="J18" s="235">
        <f>INDEX(Q3_Paeds,14,10)</f>
        <v>8</v>
      </c>
      <c r="K18" s="234">
        <f t="shared" si="1"/>
        <v>0.44444444444444442</v>
      </c>
      <c r="L18" s="235">
        <f>INDEX(Q3_Paeds,14,11)</f>
        <v>0</v>
      </c>
      <c r="M18" s="234">
        <f t="shared" si="2"/>
        <v>0</v>
      </c>
      <c r="N18" s="235">
        <f>INDEX(Q3_Paeds,14,12)</f>
        <v>0</v>
      </c>
      <c r="O18" s="234">
        <f t="shared" si="3"/>
        <v>0</v>
      </c>
      <c r="P18" s="236">
        <f>INDEX(Q3_Paeds,14,13)</f>
        <v>18</v>
      </c>
      <c r="Q18" s="233">
        <f>INDEX(Q3_Paeds,14,15)</f>
        <v>24</v>
      </c>
      <c r="R18" s="234">
        <f t="shared" si="4"/>
        <v>0.55813953488372092</v>
      </c>
      <c r="S18" s="235">
        <f>INDEX(Q3_Paeds,14,16)</f>
        <v>19</v>
      </c>
      <c r="T18" s="234">
        <f t="shared" si="5"/>
        <v>0.44186046511627908</v>
      </c>
      <c r="U18" s="237">
        <f>INDEX(Q3_Paeds,14,17)</f>
        <v>0</v>
      </c>
      <c r="V18" s="234">
        <f t="shared" si="6"/>
        <v>0</v>
      </c>
      <c r="W18" s="235">
        <f>INDEX(Q3_Paeds,14,18)</f>
        <v>0</v>
      </c>
      <c r="X18" s="234">
        <f t="shared" si="7"/>
        <v>0</v>
      </c>
      <c r="Y18" s="236">
        <f>INDEX(Q3_Paeds,14,19)</f>
        <v>43</v>
      </c>
      <c r="Z18" s="248">
        <f>INDEX(Q3_Paeds,14,21)</f>
        <v>7.0000000000000007E-2</v>
      </c>
      <c r="AA18" s="249">
        <f>INDEX(Q3_Paeds,14,22)</f>
        <v>7.0000000000000007E-2</v>
      </c>
    </row>
    <row r="19" spans="2:27" s="13" customFormat="1" ht="21.75" customHeight="1" thickTop="1" thickBot="1" x14ac:dyDescent="0.4">
      <c r="B19" s="34" t="s">
        <v>84</v>
      </c>
      <c r="C19" s="34" t="s">
        <v>27</v>
      </c>
      <c r="D19" s="76">
        <v>3</v>
      </c>
      <c r="E19" s="34" t="s">
        <v>25</v>
      </c>
      <c r="F19" s="250">
        <f>INDEX(Q3_Paeds,16,7)</f>
        <v>9</v>
      </c>
      <c r="G19" s="251">
        <f>INDEX(Q3_Paeds,16,8)</f>
        <v>12</v>
      </c>
      <c r="H19" s="238">
        <f>INDEX(Q3_Paeds,16,9)</f>
        <v>52</v>
      </c>
      <c r="I19" s="239">
        <f t="shared" si="0"/>
        <v>0.27956989247311825</v>
      </c>
      <c r="J19" s="240">
        <f>INDEX(Q3_Paeds,16,10)</f>
        <v>47</v>
      </c>
      <c r="K19" s="239">
        <f t="shared" si="1"/>
        <v>0.25268817204301075</v>
      </c>
      <c r="L19" s="240">
        <f>INDEX(Q3_Paeds,16,11)</f>
        <v>22</v>
      </c>
      <c r="M19" s="239">
        <f t="shared" si="2"/>
        <v>0.11827956989247312</v>
      </c>
      <c r="N19" s="240">
        <f>INDEX(Q3_Paeds,16,12)</f>
        <v>65</v>
      </c>
      <c r="O19" s="239">
        <f t="shared" si="3"/>
        <v>0.34946236559139787</v>
      </c>
      <c r="P19" s="241">
        <f>INDEX(Q3_Paeds,16,13)</f>
        <v>186</v>
      </c>
      <c r="Q19" s="242">
        <f>INDEX(Q3_Paeds,16,15)</f>
        <v>34</v>
      </c>
      <c r="R19" s="239">
        <f t="shared" si="4"/>
        <v>0.26771653543307089</v>
      </c>
      <c r="S19" s="240">
        <f>INDEX(Q3_Paeds,16,16)</f>
        <v>28</v>
      </c>
      <c r="T19" s="239">
        <f t="shared" si="5"/>
        <v>0.22047244094488189</v>
      </c>
      <c r="U19" s="243">
        <f>INDEX(Q3_Paeds,16,17)</f>
        <v>25</v>
      </c>
      <c r="V19" s="239">
        <f t="shared" si="6"/>
        <v>0.19685039370078741</v>
      </c>
      <c r="W19" s="240">
        <f>INDEX(Q3_Paeds,16,18)</f>
        <v>40</v>
      </c>
      <c r="X19" s="239">
        <f t="shared" si="7"/>
        <v>0.31496062992125984</v>
      </c>
      <c r="Y19" s="241">
        <f>INDEX(Q3_Paeds,16,19)</f>
        <v>127</v>
      </c>
      <c r="Z19" s="252">
        <f>INDEX(Q3_Paeds,16,21)</f>
        <v>0.09</v>
      </c>
      <c r="AA19" s="253">
        <f>INDEX(Q3_Paeds,16,22)</f>
        <v>0.06</v>
      </c>
    </row>
    <row r="20" spans="2:27" s="13" customFormat="1" ht="21.75" customHeight="1" thickTop="1" thickBot="1" x14ac:dyDescent="0.4">
      <c r="B20" s="33" t="s">
        <v>74</v>
      </c>
      <c r="C20" s="33" t="s">
        <v>27</v>
      </c>
      <c r="D20" s="75">
        <v>3</v>
      </c>
      <c r="E20" s="33" t="s">
        <v>25</v>
      </c>
      <c r="F20" s="247">
        <f>INDEX(Q3_Paeds,17,7)</f>
        <v>11</v>
      </c>
      <c r="G20" s="254">
        <f>INDEX(Q3_Paeds,17,8)</f>
        <v>15</v>
      </c>
      <c r="H20" s="244">
        <f>INDEX(Q3_Paeds,17,9)</f>
        <v>60</v>
      </c>
      <c r="I20" s="234">
        <f t="shared" si="0"/>
        <v>0.16129032258064516</v>
      </c>
      <c r="J20" s="235">
        <f>INDEX(Q3_Paeds,17,10)</f>
        <v>28</v>
      </c>
      <c r="K20" s="234">
        <f t="shared" si="1"/>
        <v>7.5268817204301078E-2</v>
      </c>
      <c r="L20" s="235">
        <f>INDEX(Q3_Paeds,17,11)</f>
        <v>108</v>
      </c>
      <c r="M20" s="234">
        <f t="shared" si="2"/>
        <v>0.29032258064516131</v>
      </c>
      <c r="N20" s="235">
        <f>INDEX(Q3_Paeds,17,12)</f>
        <v>176</v>
      </c>
      <c r="O20" s="234">
        <f t="shared" si="3"/>
        <v>0.4731182795698925</v>
      </c>
      <c r="P20" s="236">
        <f>INDEX(Q3_Paeds,17,13)</f>
        <v>372</v>
      </c>
      <c r="Q20" s="233">
        <f>INDEX(Q3_Paeds,17,15)</f>
        <v>43</v>
      </c>
      <c r="R20" s="234">
        <f t="shared" si="4"/>
        <v>0.19634703196347031</v>
      </c>
      <c r="S20" s="235">
        <f>INDEX(Q3_Paeds,17,16)</f>
        <v>43</v>
      </c>
      <c r="T20" s="234">
        <f t="shared" si="5"/>
        <v>0.19634703196347031</v>
      </c>
      <c r="U20" s="237">
        <f>INDEX(Q3_Paeds,17,17)</f>
        <v>61</v>
      </c>
      <c r="V20" s="234">
        <f t="shared" si="6"/>
        <v>0.27853881278538811</v>
      </c>
      <c r="W20" s="235">
        <f>INDEX(Q3_Paeds,17,18)</f>
        <v>72</v>
      </c>
      <c r="X20" s="234">
        <f t="shared" si="7"/>
        <v>0.32876712328767121</v>
      </c>
      <c r="Y20" s="236">
        <f>INDEX(Q3_Paeds,17,19)</f>
        <v>219</v>
      </c>
      <c r="Z20" s="248">
        <f>INDEX(Q3_Paeds,17,21)</f>
        <v>0.15</v>
      </c>
      <c r="AA20" s="249">
        <f>INDEX(Q3_Paeds,17,22)</f>
        <v>0.13</v>
      </c>
    </row>
    <row r="21" spans="2:27" s="13" customFormat="1" ht="21.75" customHeight="1" thickTop="1" thickBot="1" x14ac:dyDescent="0.4">
      <c r="B21" s="34" t="s">
        <v>86</v>
      </c>
      <c r="C21" s="34" t="s">
        <v>27</v>
      </c>
      <c r="D21" s="76">
        <v>3</v>
      </c>
      <c r="E21" s="34" t="s">
        <v>25</v>
      </c>
      <c r="F21" s="250" t="str">
        <f>INDEX(Q3_Paeds,18,7)</f>
        <v>No data</v>
      </c>
      <c r="G21" s="251" t="str">
        <f>INDEX(Q3_Paeds,18,8)</f>
        <v>No data</v>
      </c>
      <c r="H21" s="238" t="str">
        <f>INDEX(Q3_Paeds,18,9)</f>
        <v>No data</v>
      </c>
      <c r="I21" s="239">
        <f t="shared" si="0"/>
        <v>0</v>
      </c>
      <c r="J21" s="240" t="str">
        <f>INDEX(Q3_Paeds,18,10)</f>
        <v>No data</v>
      </c>
      <c r="K21" s="239">
        <f t="shared" si="1"/>
        <v>0</v>
      </c>
      <c r="L21" s="240" t="str">
        <f>INDEX(Q3_Paeds,18,11)</f>
        <v>No data</v>
      </c>
      <c r="M21" s="239">
        <f t="shared" si="2"/>
        <v>0</v>
      </c>
      <c r="N21" s="240" t="str">
        <f>INDEX(Q3_Paeds,18,12)</f>
        <v>No data</v>
      </c>
      <c r="O21" s="239">
        <f t="shared" si="3"/>
        <v>0</v>
      </c>
      <c r="P21" s="241" t="str">
        <f>INDEX(Q3_Paeds,18,13)</f>
        <v>No data</v>
      </c>
      <c r="Q21" s="242" t="str">
        <f>INDEX(Q3_Paeds,18,15)</f>
        <v>No data</v>
      </c>
      <c r="R21" s="239">
        <f t="shared" si="4"/>
        <v>0</v>
      </c>
      <c r="S21" s="240" t="str">
        <f>INDEX(Q3_Paeds,18,16)</f>
        <v>No data</v>
      </c>
      <c r="T21" s="239">
        <f t="shared" si="5"/>
        <v>0</v>
      </c>
      <c r="U21" s="243" t="str">
        <f>INDEX(Q3_Paeds,18,17)</f>
        <v>No data</v>
      </c>
      <c r="V21" s="239">
        <f t="shared" si="6"/>
        <v>0</v>
      </c>
      <c r="W21" s="240" t="str">
        <f>INDEX(Q3_Paeds,18,18)</f>
        <v>No data</v>
      </c>
      <c r="X21" s="239">
        <f t="shared" si="7"/>
        <v>0</v>
      </c>
      <c r="Y21" s="241" t="str">
        <f>INDEX(Q3_Paeds,18,19)</f>
        <v>No data</v>
      </c>
      <c r="Z21" s="252" t="str">
        <f>INDEX(Q3_Paeds,18,21)</f>
        <v>No data</v>
      </c>
      <c r="AA21" s="253" t="str">
        <f>INDEX(Q3_Paeds,18,22)</f>
        <v>No data</v>
      </c>
    </row>
    <row r="22" spans="2:27" s="13" customFormat="1" ht="21.75" customHeight="1" thickTop="1" thickBot="1" x14ac:dyDescent="0.4">
      <c r="B22" s="36" t="s">
        <v>60</v>
      </c>
      <c r="C22" s="36" t="s">
        <v>27</v>
      </c>
      <c r="D22" s="78">
        <v>3</v>
      </c>
      <c r="E22" s="36" t="s">
        <v>25</v>
      </c>
      <c r="F22" s="247">
        <f>INDEX(Q3_Paeds,19,7)</f>
        <v>7</v>
      </c>
      <c r="G22" s="254">
        <f>INDEX(Q3_Paeds,19,8)</f>
        <v>8</v>
      </c>
      <c r="H22" s="244">
        <f>INDEX(Q3_Paeds,19,9)</f>
        <v>0</v>
      </c>
      <c r="I22" s="234">
        <f t="shared" si="0"/>
        <v>0</v>
      </c>
      <c r="J22" s="235">
        <f>INDEX(Q3_Paeds,19,10)</f>
        <v>0</v>
      </c>
      <c r="K22" s="234">
        <f t="shared" si="1"/>
        <v>0</v>
      </c>
      <c r="L22" s="235">
        <f>INDEX(Q3_Paeds,19,11)</f>
        <v>0</v>
      </c>
      <c r="M22" s="234">
        <f t="shared" si="2"/>
        <v>0</v>
      </c>
      <c r="N22" s="235">
        <f>INDEX(Q3_Paeds,19,12)</f>
        <v>0</v>
      </c>
      <c r="O22" s="234">
        <f t="shared" si="3"/>
        <v>0</v>
      </c>
      <c r="P22" s="236">
        <f>INDEX(Q3_Paeds,19,13)</f>
        <v>0</v>
      </c>
      <c r="Q22" s="233">
        <f>INDEX(Q3_Paeds,19,15)</f>
        <v>38</v>
      </c>
      <c r="R22" s="234">
        <f t="shared" si="4"/>
        <v>0.65517241379310343</v>
      </c>
      <c r="S22" s="235">
        <f>INDEX(Q3_Paeds,19,16)</f>
        <v>20</v>
      </c>
      <c r="T22" s="245">
        <f t="shared" si="5"/>
        <v>0.34482758620689657</v>
      </c>
      <c r="U22" s="237">
        <f>INDEX(Q3_Paeds,19,17)</f>
        <v>0</v>
      </c>
      <c r="V22" s="234">
        <f t="shared" si="6"/>
        <v>0</v>
      </c>
      <c r="W22" s="235">
        <f>INDEX(Q3_Paeds,19,18)</f>
        <v>0</v>
      </c>
      <c r="X22" s="234">
        <f t="shared" si="7"/>
        <v>0</v>
      </c>
      <c r="Y22" s="236">
        <f>INDEX(Q3_Paeds,19,19)</f>
        <v>58</v>
      </c>
      <c r="Z22" s="248">
        <f>INDEX(Q3_Paeds,19,21)</f>
        <v>0.08</v>
      </c>
      <c r="AA22" s="249">
        <f>INDEX(Q3_Paeds,19,22)</f>
        <v>0.05</v>
      </c>
    </row>
    <row r="23" spans="2:27" s="13" customFormat="1" ht="21.75" customHeight="1" thickTop="1" thickBot="1" x14ac:dyDescent="0.4">
      <c r="B23" s="37" t="s">
        <v>75</v>
      </c>
      <c r="C23" s="37" t="s">
        <v>27</v>
      </c>
      <c r="D23" s="79">
        <v>3</v>
      </c>
      <c r="E23" s="37" t="s">
        <v>25</v>
      </c>
      <c r="F23" s="250">
        <f>INDEX(Q3_Paeds,20,7)</f>
        <v>43</v>
      </c>
      <c r="G23" s="251">
        <f>INDEX(Q3_Paeds,20,8)</f>
        <v>43</v>
      </c>
      <c r="H23" s="242">
        <f>INDEX(Q3_Paeds,20,9)</f>
        <v>48</v>
      </c>
      <c r="I23" s="239">
        <f t="shared" si="0"/>
        <v>0.8</v>
      </c>
      <c r="J23" s="240">
        <f>INDEX(Q3_Paeds,20,10)</f>
        <v>12</v>
      </c>
      <c r="K23" s="239">
        <f t="shared" si="1"/>
        <v>0.2</v>
      </c>
      <c r="L23" s="240">
        <f>INDEX(Q3_Paeds,20,11)</f>
        <v>0</v>
      </c>
      <c r="M23" s="239">
        <f t="shared" si="2"/>
        <v>0</v>
      </c>
      <c r="N23" s="240">
        <f>INDEX(Q3_Paeds,20,12)</f>
        <v>0</v>
      </c>
      <c r="O23" s="239">
        <f t="shared" si="3"/>
        <v>0</v>
      </c>
      <c r="P23" s="241">
        <f>INDEX(Q3_Paeds,20,13)</f>
        <v>60</v>
      </c>
      <c r="Q23" s="242">
        <f>INDEX(Q3_Paeds,20,15)</f>
        <v>17</v>
      </c>
      <c r="R23" s="239">
        <f t="shared" si="4"/>
        <v>0.2</v>
      </c>
      <c r="S23" s="240">
        <f>INDEX(Q3_Paeds,20,16)</f>
        <v>25</v>
      </c>
      <c r="T23" s="239">
        <f t="shared" si="5"/>
        <v>0.29411764705882354</v>
      </c>
      <c r="U23" s="246">
        <f>INDEX(Q3_Paeds,20,17)</f>
        <v>32</v>
      </c>
      <c r="V23" s="239">
        <f t="shared" si="6"/>
        <v>0.37647058823529411</v>
      </c>
      <c r="W23" s="240">
        <f>INDEX(Q3_Paeds,20,18)</f>
        <v>11</v>
      </c>
      <c r="X23" s="239">
        <f t="shared" si="7"/>
        <v>0.12941176470588237</v>
      </c>
      <c r="Y23" s="241">
        <f>INDEX(Q3_Paeds,20,19)</f>
        <v>85</v>
      </c>
      <c r="Z23" s="252">
        <f>INDEX(Q3_Paeds,20,21)</f>
        <v>0.08</v>
      </c>
      <c r="AA23" s="253">
        <f>INDEX(Q3_Paeds,20,22)</f>
        <v>0.09</v>
      </c>
    </row>
    <row r="24" spans="2:27" s="13" customFormat="1" ht="21.75" customHeight="1" thickTop="1" thickBot="1" x14ac:dyDescent="0.4">
      <c r="B24" s="38" t="s">
        <v>70</v>
      </c>
      <c r="C24" s="38" t="s">
        <v>27</v>
      </c>
      <c r="D24" s="80">
        <v>3</v>
      </c>
      <c r="E24" s="38" t="s">
        <v>25</v>
      </c>
      <c r="F24" s="247">
        <f>INDEX(Q3_Paeds,21,7)</f>
        <v>4</v>
      </c>
      <c r="G24" s="254">
        <f>INDEX(Q3_Paeds,21,8)</f>
        <v>5</v>
      </c>
      <c r="H24" s="233">
        <f>INDEX(Q3_Paeds,21,9)</f>
        <v>46</v>
      </c>
      <c r="I24" s="234">
        <f t="shared" si="0"/>
        <v>0.48936170212765956</v>
      </c>
      <c r="J24" s="235">
        <f>INDEX(Q3_Paeds,21,10)</f>
        <v>46</v>
      </c>
      <c r="K24" s="234">
        <f t="shared" si="1"/>
        <v>0.48936170212765956</v>
      </c>
      <c r="L24" s="235">
        <f>INDEX(Q3_Paeds,21,11)</f>
        <v>1</v>
      </c>
      <c r="M24" s="234">
        <f t="shared" si="2"/>
        <v>1.0638297872340425E-2</v>
      </c>
      <c r="N24" s="235">
        <f>INDEX(Q3_Paeds,21,12)</f>
        <v>1</v>
      </c>
      <c r="O24" s="234">
        <f t="shared" si="3"/>
        <v>1.0638297872340425E-2</v>
      </c>
      <c r="P24" s="236">
        <f>INDEX(Q3_Paeds,21,13)</f>
        <v>94</v>
      </c>
      <c r="Q24" s="233">
        <f>INDEX(Q3_Paeds,21,15)</f>
        <v>20</v>
      </c>
      <c r="R24" s="234">
        <f t="shared" si="4"/>
        <v>0.14492753623188406</v>
      </c>
      <c r="S24" s="235">
        <f>INDEX(Q3_Paeds,21,16)</f>
        <v>47</v>
      </c>
      <c r="T24" s="234">
        <f t="shared" si="5"/>
        <v>0.34057971014492755</v>
      </c>
      <c r="U24" s="237">
        <f>INDEX(Q3_Paeds,21,17)</f>
        <v>54</v>
      </c>
      <c r="V24" s="234">
        <f t="shared" si="6"/>
        <v>0.39130434782608697</v>
      </c>
      <c r="W24" s="235">
        <f>INDEX(Q3_Paeds,21,18)</f>
        <v>17</v>
      </c>
      <c r="X24" s="234">
        <f t="shared" si="7"/>
        <v>0.12318840579710146</v>
      </c>
      <c r="Y24" s="236">
        <f>INDEX(Q3_Paeds,21,19)</f>
        <v>138</v>
      </c>
      <c r="Z24" s="248">
        <f>INDEX(Q3_Paeds,21,21)</f>
        <v>0.02</v>
      </c>
      <c r="AA24" s="249">
        <f>INDEX(Q3_Paeds,21,22)</f>
        <v>0.02</v>
      </c>
    </row>
    <row r="25" spans="2:27" s="13" customFormat="1" ht="21.75" customHeight="1" thickTop="1" thickBot="1" x14ac:dyDescent="0.4">
      <c r="B25" s="35" t="s">
        <v>87</v>
      </c>
      <c r="C25" s="35" t="s">
        <v>27</v>
      </c>
      <c r="D25" s="77">
        <v>3</v>
      </c>
      <c r="E25" s="35" t="s">
        <v>25</v>
      </c>
      <c r="F25" s="250">
        <f>INDEX(Q3_Paeds,22,7)</f>
        <v>9</v>
      </c>
      <c r="G25" s="251">
        <f>INDEX(Q3_Paeds,22,8)</f>
        <v>8</v>
      </c>
      <c r="H25" s="242">
        <f>INDEX(Q3_Paeds,22,9)</f>
        <v>10</v>
      </c>
      <c r="I25" s="239">
        <f t="shared" si="0"/>
        <v>1</v>
      </c>
      <c r="J25" s="240">
        <f>INDEX(Q3_Paeds,22,10)</f>
        <v>0</v>
      </c>
      <c r="K25" s="239">
        <f t="shared" si="1"/>
        <v>0</v>
      </c>
      <c r="L25" s="240">
        <f>INDEX(Q3_Paeds,22,11)</f>
        <v>0</v>
      </c>
      <c r="M25" s="239">
        <f t="shared" si="2"/>
        <v>0</v>
      </c>
      <c r="N25" s="240">
        <f>INDEX(Q3_Paeds,22,12)</f>
        <v>0</v>
      </c>
      <c r="O25" s="239">
        <f t="shared" si="3"/>
        <v>0</v>
      </c>
      <c r="P25" s="241">
        <f>INDEX(Q3_Paeds,22,13)</f>
        <v>10</v>
      </c>
      <c r="Q25" s="242">
        <f>INDEX(Q3_Paeds,22,15)</f>
        <v>39</v>
      </c>
      <c r="R25" s="239">
        <f t="shared" si="4"/>
        <v>0.55714285714285716</v>
      </c>
      <c r="S25" s="240">
        <f>INDEX(Q3_Paeds,22,16)</f>
        <v>31</v>
      </c>
      <c r="T25" s="239">
        <f t="shared" si="5"/>
        <v>0.44285714285714284</v>
      </c>
      <c r="U25" s="246">
        <f>INDEX(Q3_Paeds,22,17)</f>
        <v>0</v>
      </c>
      <c r="V25" s="239">
        <f t="shared" si="6"/>
        <v>0</v>
      </c>
      <c r="W25" s="240">
        <f>INDEX(Q3_Paeds,22,18)</f>
        <v>0</v>
      </c>
      <c r="X25" s="239">
        <f t="shared" si="7"/>
        <v>0</v>
      </c>
      <c r="Y25" s="241">
        <f>INDEX(Q3_Paeds,22,19)</f>
        <v>70</v>
      </c>
      <c r="Z25" s="252">
        <f>INDEX(Q3_Paeds,22,21)</f>
        <v>0.11</v>
      </c>
      <c r="AA25" s="253">
        <f>INDEX(Q3_Paeds,22,22)</f>
        <v>0.04</v>
      </c>
    </row>
    <row r="26" spans="2:27" ht="15" thickTop="1" x14ac:dyDescent="0.35">
      <c r="B26" s="21"/>
      <c r="C26" s="21"/>
      <c r="D26" s="21"/>
      <c r="E26" s="21"/>
      <c r="F26" s="20"/>
      <c r="G26" s="20"/>
      <c r="H26" s="144"/>
      <c r="I26" s="20"/>
      <c r="J26" s="144"/>
      <c r="K26" s="20"/>
      <c r="L26" s="144"/>
      <c r="M26" s="20"/>
      <c r="N26" s="144"/>
      <c r="O26" s="20"/>
      <c r="P26" s="20"/>
      <c r="Q26" s="144"/>
      <c r="R26" s="20"/>
      <c r="S26" s="144"/>
      <c r="T26" s="20"/>
      <c r="U26" s="144"/>
      <c r="V26" s="20"/>
      <c r="W26" s="144"/>
      <c r="X26" s="20"/>
      <c r="Y26" s="20"/>
      <c r="Z26" s="20"/>
      <c r="AA26" s="20"/>
    </row>
    <row r="27" spans="2:27" ht="15" thickBot="1" x14ac:dyDescent="0.4">
      <c r="B27" s="21"/>
      <c r="C27" s="21"/>
      <c r="D27" s="21"/>
      <c r="E27" s="21"/>
      <c r="F27" s="20"/>
      <c r="G27" s="20"/>
      <c r="H27" s="144"/>
      <c r="I27" s="20"/>
      <c r="J27" s="144"/>
      <c r="K27" s="20"/>
      <c r="L27" s="144"/>
      <c r="M27" s="20"/>
      <c r="N27" s="144"/>
      <c r="O27" s="20"/>
      <c r="P27" s="20"/>
      <c r="Q27" s="144"/>
      <c r="R27" s="20"/>
      <c r="S27" s="144"/>
      <c r="T27" s="20"/>
      <c r="U27" s="144"/>
      <c r="V27" s="20"/>
      <c r="W27" s="144"/>
      <c r="X27" s="20"/>
      <c r="Y27" s="20"/>
      <c r="Z27" s="20"/>
      <c r="AA27" s="20"/>
    </row>
    <row r="28" spans="2:27" ht="14.5" x14ac:dyDescent="0.35">
      <c r="B28" s="344" t="s">
        <v>112</v>
      </c>
      <c r="C28" s="345" t="s">
        <v>113</v>
      </c>
      <c r="D28" s="346"/>
      <c r="E28" s="347"/>
      <c r="F28" s="354" t="s">
        <v>104</v>
      </c>
      <c r="G28" s="355"/>
      <c r="H28" s="356"/>
      <c r="I28" s="357"/>
      <c r="J28" s="360" t="s">
        <v>110</v>
      </c>
      <c r="K28" s="361"/>
      <c r="L28" s="364" t="s">
        <v>110</v>
      </c>
      <c r="M28" s="365"/>
      <c r="N28" s="368" t="s">
        <v>110</v>
      </c>
      <c r="O28" s="369"/>
      <c r="P28" s="267"/>
      <c r="Q28" s="356"/>
      <c r="R28" s="357"/>
      <c r="S28" s="360" t="s">
        <v>110</v>
      </c>
      <c r="T28" s="361"/>
      <c r="U28" s="364" t="s">
        <v>110</v>
      </c>
      <c r="V28" s="365"/>
      <c r="W28" s="368" t="s">
        <v>110</v>
      </c>
      <c r="X28" s="369"/>
      <c r="Y28" s="153"/>
      <c r="Z28" s="380" t="s">
        <v>107</v>
      </c>
      <c r="AA28" s="355"/>
    </row>
    <row r="29" spans="2:27" ht="14.5" x14ac:dyDescent="0.35">
      <c r="B29" s="344"/>
      <c r="C29" s="348"/>
      <c r="D29" s="349"/>
      <c r="E29" s="350"/>
      <c r="F29" s="381" t="s">
        <v>105</v>
      </c>
      <c r="G29" s="382"/>
      <c r="H29" s="358"/>
      <c r="I29" s="359"/>
      <c r="J29" s="362"/>
      <c r="K29" s="363"/>
      <c r="L29" s="366"/>
      <c r="M29" s="367"/>
      <c r="N29" s="370"/>
      <c r="O29" s="371"/>
      <c r="P29" s="268"/>
      <c r="Q29" s="358"/>
      <c r="R29" s="359"/>
      <c r="S29" s="362"/>
      <c r="T29" s="363"/>
      <c r="U29" s="366"/>
      <c r="V29" s="367"/>
      <c r="W29" s="370"/>
      <c r="X29" s="371"/>
      <c r="Y29" s="154"/>
      <c r="Z29" s="383" t="s">
        <v>108</v>
      </c>
      <c r="AA29" s="382"/>
    </row>
    <row r="30" spans="2:27" ht="15" thickBot="1" x14ac:dyDescent="0.4">
      <c r="B30" s="344"/>
      <c r="C30" s="351"/>
      <c r="D30" s="352"/>
      <c r="E30" s="353"/>
      <c r="F30" s="376" t="s">
        <v>106</v>
      </c>
      <c r="G30" s="377"/>
      <c r="H30" s="378"/>
      <c r="I30" s="379"/>
      <c r="J30" s="384" t="s">
        <v>111</v>
      </c>
      <c r="K30" s="379"/>
      <c r="L30" s="384" t="s">
        <v>111</v>
      </c>
      <c r="M30" s="379"/>
      <c r="N30" s="384" t="s">
        <v>111</v>
      </c>
      <c r="O30" s="379"/>
      <c r="P30" s="265"/>
      <c r="Q30" s="378"/>
      <c r="R30" s="379"/>
      <c r="S30" s="384" t="s">
        <v>111</v>
      </c>
      <c r="T30" s="379"/>
      <c r="U30" s="384" t="s">
        <v>111</v>
      </c>
      <c r="V30" s="379"/>
      <c r="W30" s="384" t="s">
        <v>111</v>
      </c>
      <c r="X30" s="379"/>
      <c r="Y30" s="140"/>
      <c r="Z30" s="385" t="s">
        <v>109</v>
      </c>
      <c r="AA30" s="377"/>
    </row>
    <row r="31" spans="2:27" ht="14.5" x14ac:dyDescent="0.35">
      <c r="B31" s="22"/>
      <c r="C31" s="22"/>
      <c r="D31" s="22"/>
      <c r="E31" s="22"/>
      <c r="F31" s="23"/>
      <c r="G31" s="23"/>
      <c r="H31" s="145"/>
      <c r="I31" s="23"/>
      <c r="J31" s="145"/>
      <c r="K31" s="23"/>
      <c r="L31" s="145"/>
      <c r="M31" s="23"/>
      <c r="N31" s="145"/>
      <c r="O31" s="23"/>
      <c r="P31" s="23"/>
      <c r="Q31" s="145"/>
      <c r="R31" s="23"/>
      <c r="S31" s="145"/>
      <c r="T31" s="23"/>
      <c r="U31" s="145"/>
      <c r="V31" s="23"/>
      <c r="W31" s="145"/>
      <c r="X31" s="23"/>
      <c r="Y31" s="23"/>
      <c r="Z31" s="23"/>
      <c r="AA31" s="24"/>
    </row>
    <row r="32" spans="2:27" ht="14.5" x14ac:dyDescent="0.35">
      <c r="B32" s="20"/>
      <c r="C32" s="20"/>
      <c r="D32" s="20"/>
      <c r="E32" s="20"/>
      <c r="F32" s="25">
        <v>10</v>
      </c>
      <c r="G32" s="25">
        <v>10</v>
      </c>
      <c r="H32" s="146">
        <v>10</v>
      </c>
      <c r="I32" s="25"/>
      <c r="J32" s="146">
        <v>10</v>
      </c>
      <c r="K32" s="25">
        <v>10</v>
      </c>
      <c r="L32" s="146">
        <v>10</v>
      </c>
      <c r="M32" s="25"/>
      <c r="N32" s="146"/>
      <c r="O32" s="25"/>
      <c r="P32" s="25"/>
      <c r="Q32" s="146"/>
      <c r="R32" s="25"/>
      <c r="S32" s="146"/>
      <c r="T32" s="25"/>
      <c r="U32" s="146"/>
      <c r="V32" s="25"/>
      <c r="W32" s="146"/>
      <c r="X32" s="25"/>
      <c r="Y32" s="25"/>
      <c r="Z32" s="25"/>
      <c r="AA32" s="20"/>
    </row>
    <row r="33" spans="2:27" ht="14.5" x14ac:dyDescent="0.35">
      <c r="B33" s="21" t="s">
        <v>19</v>
      </c>
      <c r="C33" s="21"/>
      <c r="D33" s="21"/>
      <c r="E33" s="21"/>
      <c r="F33" s="26"/>
      <c r="G33" s="20"/>
      <c r="H33" s="144"/>
      <c r="I33" s="20"/>
      <c r="J33" s="144"/>
      <c r="K33" s="20"/>
      <c r="L33" s="144"/>
      <c r="M33" s="20"/>
      <c r="N33" s="144"/>
      <c r="O33" s="20"/>
      <c r="P33" s="20"/>
      <c r="Q33" s="144"/>
      <c r="R33" s="20"/>
      <c r="S33" s="144"/>
      <c r="T33" s="20"/>
      <c r="U33" s="144"/>
      <c r="V33" s="20"/>
      <c r="W33" s="144"/>
      <c r="X33" s="20"/>
      <c r="Y33" s="20"/>
      <c r="Z33" s="20"/>
      <c r="AA33" s="20"/>
    </row>
    <row r="34" spans="2:27" ht="14.5" x14ac:dyDescent="0.35">
      <c r="B34" s="27" t="s">
        <v>20</v>
      </c>
      <c r="C34" s="27"/>
      <c r="D34" s="27"/>
      <c r="E34" s="27"/>
      <c r="F34" s="20"/>
      <c r="G34" s="20"/>
      <c r="H34" s="144"/>
      <c r="I34" s="20"/>
      <c r="J34" s="144"/>
      <c r="K34" s="20"/>
      <c r="L34" s="144"/>
      <c r="M34" s="20"/>
      <c r="N34" s="144"/>
      <c r="O34" s="20"/>
      <c r="P34" s="20"/>
      <c r="Q34" s="144"/>
      <c r="R34" s="20"/>
      <c r="S34" s="144"/>
      <c r="T34" s="20"/>
      <c r="U34" s="144"/>
      <c r="V34" s="20"/>
      <c r="W34" s="144"/>
      <c r="X34" s="20"/>
      <c r="Y34" s="20"/>
      <c r="Z34" s="20"/>
      <c r="AA34" s="20"/>
    </row>
    <row r="35" spans="2:27" ht="14.5" x14ac:dyDescent="0.35">
      <c r="B35" s="28"/>
      <c r="C35" s="28"/>
      <c r="D35" s="28"/>
      <c r="E35" s="28"/>
      <c r="F35" s="20"/>
      <c r="G35" s="20"/>
      <c r="H35" s="144"/>
      <c r="I35" s="20"/>
      <c r="J35" s="144"/>
      <c r="K35" s="20"/>
      <c r="L35" s="144"/>
      <c r="M35" s="20"/>
      <c r="N35" s="144"/>
      <c r="O35" s="20"/>
      <c r="P35" s="20"/>
      <c r="Q35" s="144"/>
      <c r="R35" s="20"/>
      <c r="S35" s="144"/>
      <c r="T35" s="20"/>
      <c r="U35" s="144"/>
      <c r="V35" s="20"/>
      <c r="W35" s="144"/>
      <c r="X35" s="20"/>
      <c r="Y35" s="20"/>
      <c r="Z35" s="20"/>
      <c r="AA35" s="20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</sheetData>
  <sheetProtection algorithmName="SHA-512" hashValue="Yx7cnZhKNjpleDM5eo0lMzzGP5OMb1bizJeqtUhLiWuGVgAYyEydyGz9qYwIrHdoWJqghiugDxofrgAHoHiCug==" saltValue="8zM6RHNgbYqxs0P/kfAEXg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77" priority="9" operator="containsText" text="N/A">
      <formula>NOT(ISERROR(SEARCH("N/A",F8)))</formula>
    </cfRule>
    <cfRule type="cellIs" dxfId="76" priority="16" operator="between">
      <formula>0.01</formula>
      <formula>13</formula>
    </cfRule>
    <cfRule type="cellIs" dxfId="75" priority="17" operator="between">
      <formula>13</formula>
      <formula>18</formula>
    </cfRule>
    <cfRule type="cellIs" dxfId="74" priority="18" operator="greaterThan">
      <formula>18</formula>
    </cfRule>
    <cfRule type="cellIs" dxfId="73" priority="19" operator="greaterThan">
      <formula>18</formula>
    </cfRule>
  </conditionalFormatting>
  <conditionalFormatting sqref="K8:K25 T8:T25">
    <cfRule type="cellIs" dxfId="72" priority="15" operator="greaterThan">
      <formula>0.49</formula>
    </cfRule>
  </conditionalFormatting>
  <conditionalFormatting sqref="V8:V25 M8:M25">
    <cfRule type="cellIs" dxfId="71" priority="14" operator="greaterThan">
      <formula>0.49</formula>
    </cfRule>
  </conditionalFormatting>
  <conditionalFormatting sqref="O8:O25 X8:X25">
    <cfRule type="cellIs" dxfId="70" priority="13" operator="greaterThan">
      <formula>0.49</formula>
    </cfRule>
  </conditionalFormatting>
  <conditionalFormatting sqref="Z8:AA25">
    <cfRule type="cellIs" dxfId="69" priority="10" operator="between">
      <formula>0.0001</formula>
      <formula>0.1</formula>
    </cfRule>
    <cfRule type="cellIs" dxfId="68" priority="11" operator="between">
      <formula>0.1</formula>
      <formula>0.19</formula>
    </cfRule>
    <cfRule type="cellIs" dxfId="67" priority="12" operator="greaterThan">
      <formula>0.2</formula>
    </cfRule>
  </conditionalFormatting>
  <conditionalFormatting sqref="J8:J25">
    <cfRule type="expression" dxfId="66" priority="8">
      <formula>($J8/$P8*100)&gt;49.49</formula>
    </cfRule>
  </conditionalFormatting>
  <conditionalFormatting sqref="L8:L25">
    <cfRule type="expression" dxfId="65" priority="7">
      <formula>($L8/$P8*100)&gt;49.49</formula>
    </cfRule>
  </conditionalFormatting>
  <conditionalFormatting sqref="N8:N25">
    <cfRule type="expression" dxfId="64" priority="6">
      <formula>($N8/$P8*100)&gt;49.49</formula>
    </cfRule>
  </conditionalFormatting>
  <conditionalFormatting sqref="S8:S25">
    <cfRule type="expression" dxfId="63" priority="5">
      <formula>($S8/$Y8*100)&gt;49.49</formula>
    </cfRule>
  </conditionalFormatting>
  <conditionalFormatting sqref="U8:U25">
    <cfRule type="expression" dxfId="62" priority="4">
      <formula>($U8/$Y8*100)&gt;49.49</formula>
    </cfRule>
  </conditionalFormatting>
  <conditionalFormatting sqref="W8:W25">
    <cfRule type="expression" dxfId="61" priority="3">
      <formula>($W8/$Y8*100)&gt;49.49</formula>
    </cfRule>
  </conditionalFormatting>
  <conditionalFormatting sqref="L9">
    <cfRule type="expression" dxfId="60" priority="2">
      <formula>"$M$9=&gt;.499"</formula>
    </cfRule>
  </conditionalFormatting>
  <conditionalFormatting sqref="F8:AA25">
    <cfRule type="expression" dxfId="59" priority="1">
      <formula>$F8="No data"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5" customHeight="1" zeroHeight="1" x14ac:dyDescent="0.35"/>
  <cols>
    <col min="1" max="29" width="9.1796875" style="39" customWidth="1"/>
    <col min="30" max="16384" width="9.1796875" style="39" hidden="1"/>
  </cols>
  <sheetData>
    <row r="1" spans="1:29" s="15" customFormat="1" ht="35.25" customHeight="1" x14ac:dyDescent="0.35">
      <c r="A1" s="386" t="s">
        <v>122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502" t="s">
        <v>121</v>
      </c>
      <c r="Z1" s="502"/>
      <c r="AA1" s="502"/>
    </row>
    <row r="2" spans="1:29" s="96" customFormat="1" ht="30" customHeight="1" x14ac:dyDescent="0.35">
      <c r="A2" s="388" t="s">
        <v>220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</row>
    <row r="3" spans="1:29" s="97" customFormat="1" ht="25.5" customHeight="1" x14ac:dyDescent="0.35">
      <c r="B3" s="98" t="s">
        <v>132</v>
      </c>
    </row>
    <row r="4" spans="1:29" s="17" customFormat="1" x14ac:dyDescent="0.35"/>
    <row r="5" spans="1:29" s="17" customFormat="1" x14ac:dyDescent="0.35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</row>
    <row r="6" spans="1:29" s="17" customFormat="1" x14ac:dyDescent="0.35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</row>
    <row r="7" spans="1:29" s="17" customFormat="1" x14ac:dyDescent="0.35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9" s="17" customFormat="1" x14ac:dyDescent="0.3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</row>
    <row r="9" spans="1:29" s="17" customFormat="1" x14ac:dyDescent="0.35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</row>
    <row r="10" spans="1:29" s="17" customFormat="1" x14ac:dyDescent="0.35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9" s="17" customFormat="1" x14ac:dyDescent="0.35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</row>
    <row r="12" spans="1:29" s="17" customFormat="1" x14ac:dyDescent="0.35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</row>
    <row r="13" spans="1:29" s="17" customFormat="1" x14ac:dyDescent="0.3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9" s="17" customFormat="1" x14ac:dyDescent="0.35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</row>
    <row r="15" spans="1:29" s="17" customFormat="1" x14ac:dyDescent="0.35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29" s="17" customFormat="1" x14ac:dyDescent="0.3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</row>
    <row r="17" spans="2:28" s="17" customFormat="1" x14ac:dyDescent="0.35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</row>
    <row r="18" spans="2:28" s="17" customFormat="1" x14ac:dyDescent="0.35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</row>
    <row r="19" spans="2:28" s="17" customFormat="1" x14ac:dyDescent="0.35"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</row>
    <row r="20" spans="2:28" s="17" customFormat="1" x14ac:dyDescent="0.35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</row>
    <row r="21" spans="2:28" s="17" customFormat="1" x14ac:dyDescent="0.35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</row>
    <row r="22" spans="2:28" s="17" customFormat="1" x14ac:dyDescent="0.35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</row>
    <row r="23" spans="2:28" s="17" customFormat="1" x14ac:dyDescent="0.35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</row>
    <row r="24" spans="2:28" s="17" customFormat="1" x14ac:dyDescent="0.35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</row>
    <row r="25" spans="2:28" s="17" customFormat="1" x14ac:dyDescent="0.35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</row>
    <row r="26" spans="2:28" s="17" customFormat="1" x14ac:dyDescent="0.35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</row>
    <row r="27" spans="2:28" s="17" customFormat="1" x14ac:dyDescent="0.35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</row>
    <row r="28" spans="2:28" s="17" customFormat="1" x14ac:dyDescent="0.35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</row>
    <row r="29" spans="2:28" s="17" customFormat="1" x14ac:dyDescent="0.35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</row>
    <row r="30" spans="2:28" s="17" customFormat="1" x14ac:dyDescent="0.3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</row>
    <row r="31" spans="2:28" s="17" customFormat="1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</row>
    <row r="32" spans="2:28" s="17" customFormat="1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</row>
    <row r="33" spans="1:28" s="17" customFormat="1" x14ac:dyDescent="0.35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</row>
    <row r="34" spans="1:28" s="17" customFormat="1" x14ac:dyDescent="0.35"/>
    <row r="35" spans="1:28" s="17" customFormat="1" x14ac:dyDescent="0.35"/>
    <row r="36" spans="1:28" s="97" customFormat="1" ht="25.5" customHeight="1" x14ac:dyDescent="0.35">
      <c r="B36" s="98" t="s">
        <v>123</v>
      </c>
    </row>
    <row r="37" spans="1:28" s="17" customFormat="1" x14ac:dyDescent="0.35"/>
    <row r="38" spans="1:28" s="95" customFormat="1" x14ac:dyDescent="0.35">
      <c r="A38" s="17"/>
    </row>
    <row r="39" spans="1:28" s="95" customFormat="1" x14ac:dyDescent="0.35">
      <c r="A39" s="17"/>
    </row>
    <row r="40" spans="1:28" s="95" customFormat="1" x14ac:dyDescent="0.35">
      <c r="A40" s="17"/>
    </row>
    <row r="41" spans="1:28" s="95" customFormat="1" x14ac:dyDescent="0.35">
      <c r="A41" s="17"/>
    </row>
    <row r="42" spans="1:28" s="95" customFormat="1" x14ac:dyDescent="0.35">
      <c r="A42" s="17"/>
    </row>
    <row r="43" spans="1:28" s="95" customFormat="1" x14ac:dyDescent="0.35">
      <c r="A43" s="17"/>
    </row>
    <row r="44" spans="1:28" s="95" customFormat="1" x14ac:dyDescent="0.35">
      <c r="A44" s="17"/>
    </row>
    <row r="45" spans="1:28" s="95" customFormat="1" x14ac:dyDescent="0.35">
      <c r="A45" s="17"/>
    </row>
    <row r="46" spans="1:28" s="95" customFormat="1" x14ac:dyDescent="0.35">
      <c r="A46" s="17"/>
    </row>
    <row r="47" spans="1:28" s="95" customFormat="1" x14ac:dyDescent="0.35">
      <c r="A47" s="17"/>
    </row>
    <row r="48" spans="1:28" s="95" customFormat="1" x14ac:dyDescent="0.35">
      <c r="A48" s="17"/>
    </row>
    <row r="49" spans="1:1" s="95" customFormat="1" x14ac:dyDescent="0.35">
      <c r="A49" s="17"/>
    </row>
    <row r="50" spans="1:1" s="95" customFormat="1" x14ac:dyDescent="0.35">
      <c r="A50" s="17"/>
    </row>
    <row r="51" spans="1:1" s="95" customFormat="1" x14ac:dyDescent="0.35">
      <c r="A51" s="17"/>
    </row>
    <row r="52" spans="1:1" s="95" customFormat="1" x14ac:dyDescent="0.35">
      <c r="A52" s="17"/>
    </row>
    <row r="53" spans="1:1" s="95" customFormat="1" x14ac:dyDescent="0.35">
      <c r="A53" s="17"/>
    </row>
    <row r="54" spans="1:1" s="95" customFormat="1" x14ac:dyDescent="0.35">
      <c r="A54" s="17"/>
    </row>
    <row r="55" spans="1:1" s="95" customFormat="1" x14ac:dyDescent="0.35">
      <c r="A55" s="17"/>
    </row>
    <row r="56" spans="1:1" s="95" customFormat="1" x14ac:dyDescent="0.35">
      <c r="A56" s="17"/>
    </row>
    <row r="57" spans="1:1" s="95" customFormat="1" x14ac:dyDescent="0.35">
      <c r="A57" s="17"/>
    </row>
    <row r="58" spans="1:1" s="95" customFormat="1" x14ac:dyDescent="0.35">
      <c r="A58" s="17"/>
    </row>
    <row r="59" spans="1:1" s="95" customFormat="1" x14ac:dyDescent="0.35">
      <c r="A59" s="17"/>
    </row>
    <row r="60" spans="1:1" s="95" customFormat="1" x14ac:dyDescent="0.35">
      <c r="A60" s="17"/>
    </row>
    <row r="61" spans="1:1" s="95" customFormat="1" x14ac:dyDescent="0.35">
      <c r="A61" s="17"/>
    </row>
    <row r="62" spans="1:1" s="95" customFormat="1" x14ac:dyDescent="0.35">
      <c r="A62" s="17"/>
    </row>
    <row r="63" spans="1:1" s="95" customFormat="1" x14ac:dyDescent="0.35">
      <c r="A63" s="17"/>
    </row>
    <row r="64" spans="1:1" s="95" customFormat="1" x14ac:dyDescent="0.35">
      <c r="A64" s="17"/>
    </row>
    <row r="65" spans="1:1" s="95" customFormat="1" x14ac:dyDescent="0.35">
      <c r="A65" s="17"/>
    </row>
    <row r="66" spans="1:1" s="95" customFormat="1" x14ac:dyDescent="0.35">
      <c r="A66" s="17"/>
    </row>
    <row r="67" spans="1:1" s="95" customFormat="1" x14ac:dyDescent="0.35">
      <c r="A67" s="17"/>
    </row>
    <row r="68" spans="1:1" s="95" customFormat="1" x14ac:dyDescent="0.35">
      <c r="A68" s="17"/>
    </row>
    <row r="69" spans="1:1" s="95" customFormat="1" x14ac:dyDescent="0.35">
      <c r="A69" s="17"/>
    </row>
    <row r="70" spans="1:1" s="95" customFormat="1" x14ac:dyDescent="0.35">
      <c r="A70" s="17"/>
    </row>
    <row r="71" spans="1:1" s="95" customFormat="1" x14ac:dyDescent="0.35">
      <c r="A71" s="17"/>
    </row>
    <row r="72" spans="1:1" s="95" customFormat="1" x14ac:dyDescent="0.35">
      <c r="A72" s="17"/>
    </row>
    <row r="73" spans="1:1" s="95" customFormat="1" x14ac:dyDescent="0.35">
      <c r="A73" s="17"/>
    </row>
    <row r="74" spans="1:1" s="95" customFormat="1" x14ac:dyDescent="0.35">
      <c r="A74" s="17"/>
    </row>
    <row r="75" spans="1:1" s="95" customFormat="1" x14ac:dyDescent="0.35">
      <c r="A75" s="17"/>
    </row>
    <row r="76" spans="1:1" s="95" customFormat="1" x14ac:dyDescent="0.35">
      <c r="A76" s="17"/>
    </row>
    <row r="77" spans="1:1" s="95" customFormat="1" x14ac:dyDescent="0.35">
      <c r="A77" s="17"/>
    </row>
    <row r="78" spans="1:1" s="95" customFormat="1" x14ac:dyDescent="0.35">
      <c r="A78" s="17"/>
    </row>
    <row r="79" spans="1:1" s="95" customFormat="1" x14ac:dyDescent="0.35">
      <c r="A79" s="17"/>
    </row>
    <row r="80" spans="1:1" s="95" customFormat="1" x14ac:dyDescent="0.35">
      <c r="A80" s="17"/>
    </row>
    <row r="81" spans="1:29" s="95" customFormat="1" x14ac:dyDescent="0.35">
      <c r="A81" s="17"/>
    </row>
    <row r="82" spans="1:29" s="95" customFormat="1" x14ac:dyDescent="0.35">
      <c r="A82" s="17"/>
    </row>
    <row r="83" spans="1:29" s="95" customFormat="1" x14ac:dyDescent="0.35">
      <c r="A83" s="17"/>
    </row>
    <row r="84" spans="1:29" s="95" customFormat="1" x14ac:dyDescent="0.35">
      <c r="A84" s="17"/>
    </row>
    <row r="85" spans="1:29" s="95" customFormat="1" x14ac:dyDescent="0.35">
      <c r="A85" s="17"/>
    </row>
    <row r="86" spans="1:29" s="95" customFormat="1" x14ac:dyDescent="0.35">
      <c r="A86" s="17"/>
    </row>
    <row r="87" spans="1:29" s="95" customFormat="1" x14ac:dyDescent="0.35">
      <c r="A87" s="17"/>
    </row>
    <row r="88" spans="1:29" s="95" customFormat="1" x14ac:dyDescent="0.35">
      <c r="A88" s="17"/>
    </row>
    <row r="89" spans="1:29" s="17" customFormat="1" x14ac:dyDescent="0.35"/>
    <row r="90" spans="1:29" s="17" customFormat="1" x14ac:dyDescent="0.35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</row>
    <row r="91" spans="1:29" s="17" customFormat="1" x14ac:dyDescent="0.35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</row>
    <row r="92" spans="1:29" s="17" customFormat="1" x14ac:dyDescent="0.35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</row>
    <row r="93" spans="1:29" s="17" customFormat="1" x14ac:dyDescent="0.35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</row>
    <row r="94" spans="1:29" s="17" customFormat="1" x14ac:dyDescent="0.35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</row>
    <row r="95" spans="1:29" s="17" customFormat="1" x14ac:dyDescent="0.35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</row>
    <row r="96" spans="1:29" s="17" customFormat="1" x14ac:dyDescent="0.35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</row>
    <row r="97" spans="2:29" s="17" customFormat="1" x14ac:dyDescent="0.35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</row>
    <row r="98" spans="2:29" s="17" customFormat="1" x14ac:dyDescent="0.35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</row>
    <row r="99" spans="2:29" s="17" customFormat="1" x14ac:dyDescent="0.35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</row>
    <row r="100" spans="2:29" s="17" customFormat="1" x14ac:dyDescent="0.35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</row>
    <row r="101" spans="2:29" s="17" customFormat="1" x14ac:dyDescent="0.35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</row>
    <row r="102" spans="2:29" s="17" customFormat="1" x14ac:dyDescent="0.35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</row>
    <row r="103" spans="2:29" s="17" customFormat="1" x14ac:dyDescent="0.35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</row>
    <row r="104" spans="2:29" s="17" customFormat="1" x14ac:dyDescent="0.35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</row>
    <row r="105" spans="2:29" s="17" customFormat="1" x14ac:dyDescent="0.35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</row>
    <row r="106" spans="2:29" s="17" customFormat="1" x14ac:dyDescent="0.35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</row>
    <row r="107" spans="2:29" s="17" customFormat="1" x14ac:dyDescent="0.35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</row>
    <row r="108" spans="2:29" s="17" customFormat="1" x14ac:dyDescent="0.35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</row>
    <row r="109" spans="2:29" s="17" customFormat="1" x14ac:dyDescent="0.35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</row>
    <row r="110" spans="2:29" s="17" customFormat="1" x14ac:dyDescent="0.35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</row>
    <row r="111" spans="2:29" s="17" customFormat="1" x14ac:dyDescent="0.35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</row>
    <row r="112" spans="2:29" s="17" customFormat="1" x14ac:dyDescent="0.35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</row>
    <row r="113" spans="2:29" s="17" customFormat="1" x14ac:dyDescent="0.35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</row>
    <row r="114" spans="2:29" s="17" customFormat="1" x14ac:dyDescent="0.35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</row>
    <row r="115" spans="2:29" s="17" customFormat="1" x14ac:dyDescent="0.35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</row>
    <row r="116" spans="2:29" s="17" customFormat="1" x14ac:dyDescent="0.35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</row>
    <row r="117" spans="2:29" s="17" customFormat="1" x14ac:dyDescent="0.35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</row>
    <row r="118" spans="2:29" s="17" customFormat="1" x14ac:dyDescent="0.35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</row>
    <row r="119" spans="2:29" s="17" customFormat="1" x14ac:dyDescent="0.35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</row>
    <row r="120" spans="2:29" s="17" customFormat="1" x14ac:dyDescent="0.35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</row>
    <row r="121" spans="2:29" s="17" customFormat="1" x14ac:dyDescent="0.35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</row>
    <row r="122" spans="2:29" s="17" customFormat="1" x14ac:dyDescent="0.35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</row>
    <row r="123" spans="2:29" s="17" customFormat="1" x14ac:dyDescent="0.35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</row>
    <row r="124" spans="2:29" s="17" customFormat="1" x14ac:dyDescent="0.35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</row>
    <row r="125" spans="2:29" s="17" customFormat="1" x14ac:dyDescent="0.35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</row>
    <row r="126" spans="2:29" s="17" customFormat="1" x14ac:dyDescent="0.35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</row>
    <row r="127" spans="2:29" s="17" customFormat="1" x14ac:dyDescent="0.35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</row>
    <row r="128" spans="2:29" s="17" customFormat="1" x14ac:dyDescent="0.35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</row>
    <row r="129" spans="2:29" s="17" customFormat="1" x14ac:dyDescent="0.35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</row>
    <row r="130" spans="2:29" s="17" customFormat="1" x14ac:dyDescent="0.35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</row>
    <row r="131" spans="2:29" s="17" customFormat="1" x14ac:dyDescent="0.35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</row>
    <row r="132" spans="2:29" s="17" customFormat="1" x14ac:dyDescent="0.35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</row>
    <row r="133" spans="2:29" s="17" customFormat="1" x14ac:dyDescent="0.35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</row>
    <row r="134" spans="2:29" s="17" customFormat="1" x14ac:dyDescent="0.35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</row>
    <row r="135" spans="2:29" s="17" customFormat="1" x14ac:dyDescent="0.35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</row>
    <row r="136" spans="2:29" s="17" customFormat="1" x14ac:dyDescent="0.35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</row>
    <row r="137" spans="2:29" s="17" customFormat="1" x14ac:dyDescent="0.35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</row>
    <row r="138" spans="2:29" s="17" customFormat="1" x14ac:dyDescent="0.35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</row>
    <row r="139" spans="2:29" s="17" customFormat="1" x14ac:dyDescent="0.35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</row>
    <row r="140" spans="2:29" s="17" customFormat="1" x14ac:dyDescent="0.35"/>
    <row r="141" spans="2:29" s="17" customFormat="1" x14ac:dyDescent="0.35"/>
    <row r="142" spans="2:29" s="97" customFormat="1" ht="25.5" customHeight="1" x14ac:dyDescent="0.35">
      <c r="B142" s="98" t="s">
        <v>4</v>
      </c>
    </row>
    <row r="143" spans="2:29" s="17" customFormat="1" x14ac:dyDescent="0.35"/>
    <row r="144" spans="2:29" s="17" customFormat="1" x14ac:dyDescent="0.35"/>
    <row r="145" spans="2:28" s="17" customFormat="1" x14ac:dyDescent="0.35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</row>
    <row r="146" spans="2:28" s="17" customFormat="1" x14ac:dyDescent="0.35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</row>
    <row r="147" spans="2:28" s="17" customFormat="1" x14ac:dyDescent="0.35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</row>
    <row r="148" spans="2:28" s="17" customFormat="1" x14ac:dyDescent="0.35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</row>
    <row r="149" spans="2:28" s="17" customFormat="1" x14ac:dyDescent="0.35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</row>
    <row r="150" spans="2:28" s="17" customFormat="1" x14ac:dyDescent="0.35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</row>
    <row r="151" spans="2:28" s="17" customFormat="1" x14ac:dyDescent="0.35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</row>
    <row r="152" spans="2:28" s="17" customFormat="1" x14ac:dyDescent="0.35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</row>
    <row r="153" spans="2:28" s="17" customFormat="1" x14ac:dyDescent="0.35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</row>
    <row r="154" spans="2:28" s="17" customFormat="1" x14ac:dyDescent="0.35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</row>
    <row r="155" spans="2:28" s="17" customFormat="1" x14ac:dyDescent="0.35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</row>
    <row r="156" spans="2:28" s="17" customFormat="1" x14ac:dyDescent="0.35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</row>
    <row r="157" spans="2:28" s="17" customFormat="1" x14ac:dyDescent="0.35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</row>
    <row r="158" spans="2:28" s="17" customFormat="1" x14ac:dyDescent="0.35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</row>
    <row r="159" spans="2:28" s="17" customFormat="1" x14ac:dyDescent="0.35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</row>
    <row r="160" spans="2:28" s="17" customFormat="1" x14ac:dyDescent="0.35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</row>
    <row r="161" spans="2:28" s="17" customFormat="1" x14ac:dyDescent="0.35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</row>
    <row r="162" spans="2:28" s="17" customFormat="1" x14ac:dyDescent="0.35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</row>
    <row r="163" spans="2:28" s="17" customFormat="1" x14ac:dyDescent="0.35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</row>
    <row r="164" spans="2:28" s="17" customFormat="1" x14ac:dyDescent="0.35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</row>
    <row r="165" spans="2:28" s="17" customFormat="1" x14ac:dyDescent="0.35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</row>
    <row r="166" spans="2:28" s="17" customFormat="1" x14ac:dyDescent="0.35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</row>
    <row r="167" spans="2:28" s="17" customFormat="1" x14ac:dyDescent="0.35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</row>
    <row r="168" spans="2:28" s="17" customFormat="1" x14ac:dyDescent="0.35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</row>
    <row r="169" spans="2:28" s="17" customFormat="1" x14ac:dyDescent="0.35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</row>
    <row r="170" spans="2:28" s="17" customFormat="1" x14ac:dyDescent="0.35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</row>
    <row r="171" spans="2:28" s="17" customFormat="1" x14ac:dyDescent="0.35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</row>
    <row r="172" spans="2:28" s="17" customFormat="1" x14ac:dyDescent="0.35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</row>
    <row r="173" spans="2:28" s="17" customFormat="1" x14ac:dyDescent="0.35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</row>
    <row r="174" spans="2:28" s="17" customFormat="1" x14ac:dyDescent="0.35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</row>
    <row r="175" spans="2:28" s="17" customFormat="1" x14ac:dyDescent="0.35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</row>
    <row r="176" spans="2:28" s="17" customFormat="1" x14ac:dyDescent="0.35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</row>
    <row r="177" spans="2:28" s="17" customFormat="1" x14ac:dyDescent="0.35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</row>
    <row r="178" spans="2:28" s="17" customFormat="1" x14ac:dyDescent="0.35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</row>
    <row r="179" spans="2:28" s="17" customFormat="1" x14ac:dyDescent="0.35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</row>
    <row r="180" spans="2:28" s="17" customFormat="1" x14ac:dyDescent="0.35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</row>
    <row r="181" spans="2:28" s="17" customFormat="1" x14ac:dyDescent="0.35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</row>
    <row r="182" spans="2:28" s="17" customFormat="1" x14ac:dyDescent="0.35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</row>
    <row r="183" spans="2:28" s="17" customFormat="1" x14ac:dyDescent="0.35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</row>
    <row r="184" spans="2:28" s="17" customFormat="1" x14ac:dyDescent="0.35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</row>
    <row r="185" spans="2:28" s="17" customFormat="1" x14ac:dyDescent="0.35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</row>
    <row r="186" spans="2:28" s="17" customFormat="1" x14ac:dyDescent="0.35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</row>
    <row r="187" spans="2:28" s="17" customFormat="1" x14ac:dyDescent="0.35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</row>
    <row r="188" spans="2:28" s="17" customFormat="1" x14ac:dyDescent="0.35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</row>
    <row r="189" spans="2:28" s="17" customFormat="1" x14ac:dyDescent="0.35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</row>
    <row r="190" spans="2:28" s="17" customFormat="1" x14ac:dyDescent="0.35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</row>
    <row r="191" spans="2:28" s="17" customFormat="1" x14ac:dyDescent="0.35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</row>
    <row r="192" spans="2:28" s="17" customFormat="1" x14ac:dyDescent="0.35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</row>
    <row r="193" spans="2:28" s="17" customFormat="1" x14ac:dyDescent="0.35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</row>
    <row r="194" spans="2:28" s="17" customFormat="1" x14ac:dyDescent="0.35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</row>
    <row r="195" spans="2:28" s="17" customFormat="1" x14ac:dyDescent="0.35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</row>
    <row r="196" spans="2:28" s="17" customFormat="1" ht="20.25" customHeight="1" x14ac:dyDescent="0.35"/>
    <row r="197" spans="2:28" s="17" customFormat="1" x14ac:dyDescent="0.35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</row>
    <row r="198" spans="2:28" s="17" customFormat="1" x14ac:dyDescent="0.35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</row>
    <row r="199" spans="2:28" s="17" customFormat="1" x14ac:dyDescent="0.35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</row>
    <row r="200" spans="2:28" s="17" customFormat="1" x14ac:dyDescent="0.35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</row>
    <row r="201" spans="2:28" s="17" customFormat="1" x14ac:dyDescent="0.35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</row>
    <row r="202" spans="2:28" s="17" customFormat="1" x14ac:dyDescent="0.35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</row>
    <row r="203" spans="2:28" s="17" customFormat="1" x14ac:dyDescent="0.35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</row>
    <row r="204" spans="2:28" s="17" customFormat="1" x14ac:dyDescent="0.35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</row>
    <row r="205" spans="2:28" s="17" customFormat="1" x14ac:dyDescent="0.35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</row>
    <row r="206" spans="2:28" s="17" customFormat="1" x14ac:dyDescent="0.35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</row>
    <row r="207" spans="2:28" s="17" customFormat="1" x14ac:dyDescent="0.35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</row>
    <row r="208" spans="2:28" s="17" customFormat="1" x14ac:dyDescent="0.35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</row>
    <row r="209" spans="2:28" s="17" customFormat="1" x14ac:dyDescent="0.35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</row>
    <row r="210" spans="2:28" s="17" customFormat="1" x14ac:dyDescent="0.35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</row>
    <row r="211" spans="2:28" s="17" customFormat="1" x14ac:dyDescent="0.35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</row>
    <row r="212" spans="2:28" s="17" customFormat="1" x14ac:dyDescent="0.35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</row>
    <row r="213" spans="2:28" s="17" customFormat="1" x14ac:dyDescent="0.35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</row>
    <row r="214" spans="2:28" s="17" customFormat="1" x14ac:dyDescent="0.35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</row>
    <row r="215" spans="2:28" s="17" customFormat="1" x14ac:dyDescent="0.35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</row>
    <row r="216" spans="2:28" s="17" customFormat="1" x14ac:dyDescent="0.35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</row>
    <row r="217" spans="2:28" s="17" customFormat="1" x14ac:dyDescent="0.35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</row>
    <row r="218" spans="2:28" s="17" customFormat="1" x14ac:dyDescent="0.35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</row>
    <row r="219" spans="2:28" s="17" customFormat="1" x14ac:dyDescent="0.35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</row>
    <row r="220" spans="2:28" s="17" customFormat="1" x14ac:dyDescent="0.35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</row>
    <row r="221" spans="2:28" s="17" customFormat="1" x14ac:dyDescent="0.35"/>
    <row r="222" spans="2:28" s="17" customFormat="1" x14ac:dyDescent="0.35"/>
    <row r="223" spans="2:28" s="17" customFormat="1" x14ac:dyDescent="0.35"/>
    <row r="224" spans="2:28" s="17" customFormat="1" hidden="1" x14ac:dyDescent="0.35"/>
    <row r="225" s="17" customFormat="1" hidden="1" x14ac:dyDescent="0.35"/>
    <row r="226" s="17" customFormat="1" hidden="1" x14ac:dyDescent="0.35"/>
    <row r="227" s="17" customFormat="1" hidden="1" x14ac:dyDescent="0.35"/>
    <row r="228" s="17" customFormat="1" hidden="1" x14ac:dyDescent="0.35"/>
    <row r="229" s="17" customFormat="1" hidden="1" x14ac:dyDescent="0.35"/>
    <row r="230" s="17" customFormat="1" hidden="1" x14ac:dyDescent="0.35"/>
    <row r="231" s="17" customFormat="1" hidden="1" x14ac:dyDescent="0.35"/>
    <row r="232" s="17" customFormat="1" hidden="1" x14ac:dyDescent="0.35"/>
    <row r="233" s="17" customFormat="1" hidden="1" x14ac:dyDescent="0.35"/>
    <row r="234" s="17" customFormat="1" hidden="1" x14ac:dyDescent="0.35"/>
    <row r="235" s="17" customFormat="1" hidden="1" x14ac:dyDescent="0.35"/>
    <row r="236" s="17" customFormat="1" hidden="1" x14ac:dyDescent="0.35"/>
    <row r="237" s="17" customFormat="1" hidden="1" x14ac:dyDescent="0.35"/>
    <row r="238" s="17" customFormat="1" hidden="1" x14ac:dyDescent="0.35"/>
    <row r="239" s="17" customFormat="1" hidden="1" x14ac:dyDescent="0.35"/>
    <row r="240" s="17" customFormat="1" hidden="1" x14ac:dyDescent="0.35"/>
    <row r="241" s="17" customFormat="1" hidden="1" x14ac:dyDescent="0.35"/>
    <row r="242" s="17" customFormat="1" hidden="1" x14ac:dyDescent="0.35"/>
    <row r="243" s="17" customFormat="1" hidden="1" x14ac:dyDescent="0.35"/>
    <row r="244" s="17" customFormat="1" hidden="1" x14ac:dyDescent="0.35"/>
    <row r="245" s="17" customFormat="1" hidden="1" x14ac:dyDescent="0.35"/>
    <row r="246" s="17" customFormat="1" hidden="1" x14ac:dyDescent="0.35"/>
    <row r="247" s="17" customFormat="1" hidden="1" x14ac:dyDescent="0.35"/>
    <row r="248" s="17" customFormat="1" hidden="1" x14ac:dyDescent="0.35"/>
    <row r="249" s="17" customFormat="1" hidden="1" x14ac:dyDescent="0.35"/>
    <row r="250" s="17" customFormat="1" hidden="1" x14ac:dyDescent="0.35"/>
    <row r="251" s="17" customFormat="1" hidden="1" x14ac:dyDescent="0.35"/>
    <row r="252" s="17" customFormat="1" hidden="1" x14ac:dyDescent="0.35"/>
    <row r="253" s="17" customFormat="1" hidden="1" x14ac:dyDescent="0.35"/>
    <row r="254" s="17" customFormat="1" hidden="1" x14ac:dyDescent="0.35"/>
    <row r="255" s="17" customFormat="1" hidden="1" x14ac:dyDescent="0.35"/>
    <row r="256" s="17" customFormat="1" hidden="1" x14ac:dyDescent="0.35"/>
    <row r="257" s="17" customFormat="1" hidden="1" x14ac:dyDescent="0.35"/>
    <row r="258" s="17" customFormat="1" hidden="1" x14ac:dyDescent="0.35"/>
    <row r="259" s="17" customFormat="1" hidden="1" x14ac:dyDescent="0.35"/>
    <row r="260" s="17" customFormat="1" hidden="1" x14ac:dyDescent="0.35"/>
    <row r="261" s="17" customFormat="1" hidden="1" x14ac:dyDescent="0.35"/>
    <row r="262" s="17" customFormat="1" hidden="1" x14ac:dyDescent="0.35"/>
    <row r="263" s="17" customFormat="1" hidden="1" x14ac:dyDescent="0.35"/>
    <row r="264" s="17" customFormat="1" hidden="1" x14ac:dyDescent="0.35"/>
    <row r="265" s="17" customFormat="1" hidden="1" x14ac:dyDescent="0.35"/>
    <row r="266" s="17" customFormat="1" hidden="1" x14ac:dyDescent="0.35"/>
    <row r="267" s="17" customFormat="1" hidden="1" x14ac:dyDescent="0.35"/>
    <row r="268" s="17" customFormat="1" hidden="1" x14ac:dyDescent="0.35"/>
    <row r="269" s="17" customFormat="1" hidden="1" x14ac:dyDescent="0.35"/>
    <row r="270" s="17" customFormat="1" hidden="1" x14ac:dyDescent="0.35"/>
    <row r="271" s="17" customFormat="1" hidden="1" x14ac:dyDescent="0.35"/>
    <row r="272" s="17" customFormat="1" hidden="1" x14ac:dyDescent="0.35"/>
    <row r="273" s="17" customFormat="1" hidden="1" x14ac:dyDescent="0.35"/>
    <row r="274" s="17" customFormat="1" hidden="1" x14ac:dyDescent="0.35"/>
    <row r="275" s="17" customFormat="1" hidden="1" x14ac:dyDescent="0.35"/>
    <row r="276" s="17" customFormat="1" hidden="1" x14ac:dyDescent="0.35"/>
    <row r="277" s="17" customFormat="1" hidden="1" x14ac:dyDescent="0.35"/>
    <row r="278" s="17" customFormat="1" hidden="1" x14ac:dyDescent="0.35"/>
    <row r="279" s="17" customFormat="1" hidden="1" x14ac:dyDescent="0.35"/>
    <row r="280" s="17" customFormat="1" hidden="1" x14ac:dyDescent="0.35"/>
    <row r="281" s="17" customFormat="1" hidden="1" x14ac:dyDescent="0.35"/>
    <row r="282" s="17" customFormat="1" hidden="1" x14ac:dyDescent="0.35"/>
    <row r="283" s="17" customFormat="1" hidden="1" x14ac:dyDescent="0.35"/>
    <row r="284" s="17" customFormat="1" hidden="1" x14ac:dyDescent="0.35"/>
    <row r="285" s="17" customFormat="1" hidden="1" x14ac:dyDescent="0.35"/>
    <row r="286" s="17" customFormat="1" hidden="1" x14ac:dyDescent="0.35"/>
    <row r="287" s="17" customFormat="1" hidden="1" x14ac:dyDescent="0.35"/>
    <row r="288" s="17" customFormat="1" hidden="1" x14ac:dyDescent="0.35"/>
    <row r="289" s="17" customFormat="1" hidden="1" x14ac:dyDescent="0.35"/>
    <row r="290" s="17" customFormat="1" hidden="1" x14ac:dyDescent="0.35"/>
    <row r="291" s="17" customFormat="1" hidden="1" x14ac:dyDescent="0.35"/>
    <row r="292" s="17" customFormat="1" hidden="1" x14ac:dyDescent="0.35"/>
    <row r="293" s="17" customFormat="1" hidden="1" x14ac:dyDescent="0.35"/>
    <row r="294" s="17" customFormat="1" hidden="1" x14ac:dyDescent="0.35"/>
    <row r="295" s="17" customFormat="1" hidden="1" x14ac:dyDescent="0.35"/>
    <row r="296" s="17" customFormat="1" hidden="1" x14ac:dyDescent="0.35"/>
    <row r="297" s="17" customFormat="1" hidden="1" x14ac:dyDescent="0.35"/>
    <row r="298" s="17" customFormat="1" hidden="1" x14ac:dyDescent="0.35"/>
    <row r="299" s="17" customFormat="1" hidden="1" x14ac:dyDescent="0.35"/>
    <row r="300" s="17" customFormat="1" hidden="1" x14ac:dyDescent="0.35"/>
    <row r="301" s="17" customFormat="1" hidden="1" x14ac:dyDescent="0.35"/>
    <row r="302" s="17" customFormat="1" hidden="1" x14ac:dyDescent="0.35"/>
    <row r="303" s="17" customFormat="1" hidden="1" x14ac:dyDescent="0.35"/>
    <row r="304" s="17" customFormat="1" hidden="1" x14ac:dyDescent="0.35"/>
    <row r="305" s="17" customFormat="1" hidden="1" x14ac:dyDescent="0.35"/>
    <row r="306" s="17" customFormat="1" hidden="1" x14ac:dyDescent="0.35"/>
    <row r="307" s="17" customFormat="1" hidden="1" x14ac:dyDescent="0.35"/>
    <row r="308" s="17" customFormat="1" hidden="1" x14ac:dyDescent="0.35"/>
    <row r="309" s="17" customFormat="1" hidden="1" x14ac:dyDescent="0.35"/>
    <row r="310" s="17" customFormat="1" hidden="1" x14ac:dyDescent="0.35"/>
    <row r="311" s="17" customFormat="1" hidden="1" x14ac:dyDescent="0.35"/>
    <row r="312" s="17" customFormat="1" hidden="1" x14ac:dyDescent="0.35"/>
    <row r="313" s="17" customFormat="1" hidden="1" x14ac:dyDescent="0.35"/>
    <row r="314" s="17" customFormat="1" hidden="1" x14ac:dyDescent="0.35"/>
    <row r="315" s="17" customFormat="1" hidden="1" x14ac:dyDescent="0.35"/>
    <row r="316" s="17" customFormat="1" hidden="1" x14ac:dyDescent="0.35"/>
    <row r="317" s="17" customFormat="1" hidden="1" x14ac:dyDescent="0.35"/>
    <row r="318" s="17" customFormat="1" hidden="1" x14ac:dyDescent="0.35"/>
    <row r="319" s="17" customFormat="1" hidden="1" x14ac:dyDescent="0.35"/>
    <row r="320" s="17" customFormat="1" hidden="1" x14ac:dyDescent="0.35"/>
    <row r="321" s="17" customFormat="1" hidden="1" x14ac:dyDescent="0.35"/>
    <row r="322" s="17" customFormat="1" hidden="1" x14ac:dyDescent="0.35"/>
    <row r="323" s="17" customFormat="1" hidden="1" x14ac:dyDescent="0.35"/>
    <row r="324" s="17" customFormat="1" hidden="1" x14ac:dyDescent="0.35"/>
    <row r="325" s="17" customFormat="1" hidden="1" x14ac:dyDescent="0.35"/>
    <row r="326" s="17" customFormat="1" hidden="1" x14ac:dyDescent="0.35"/>
    <row r="327" s="17" customFormat="1" hidden="1" x14ac:dyDescent="0.35"/>
    <row r="328" s="17" customFormat="1" hidden="1" x14ac:dyDescent="0.35"/>
    <row r="329" s="17" customFormat="1" hidden="1" x14ac:dyDescent="0.35"/>
    <row r="330" s="17" customFormat="1" hidden="1" x14ac:dyDescent="0.35"/>
    <row r="331" s="17" customFormat="1" hidden="1" x14ac:dyDescent="0.35"/>
    <row r="332" s="17" customFormat="1" hidden="1" x14ac:dyDescent="0.35"/>
    <row r="333" s="17" customFormat="1" hidden="1" x14ac:dyDescent="0.35"/>
    <row r="334" s="17" customFormat="1" hidden="1" x14ac:dyDescent="0.35"/>
    <row r="335" s="17" customFormat="1" hidden="1" x14ac:dyDescent="0.35"/>
    <row r="336" s="17" customFormat="1" hidden="1" x14ac:dyDescent="0.35"/>
    <row r="337" s="17" customFormat="1" hidden="1" x14ac:dyDescent="0.35"/>
    <row r="338" s="17" customFormat="1" hidden="1" x14ac:dyDescent="0.35"/>
    <row r="339" s="17" customFormat="1" hidden="1" x14ac:dyDescent="0.35"/>
    <row r="340" s="17" customFormat="1" hidden="1" x14ac:dyDescent="0.35"/>
    <row r="341" s="17" customFormat="1" hidden="1" x14ac:dyDescent="0.35"/>
    <row r="342" s="17" customFormat="1" hidden="1" x14ac:dyDescent="0.35"/>
    <row r="343" s="17" customFormat="1" hidden="1" x14ac:dyDescent="0.35"/>
    <row r="344" s="17" customFormat="1" hidden="1" x14ac:dyDescent="0.35"/>
    <row r="345" s="17" customFormat="1" hidden="1" x14ac:dyDescent="0.35"/>
    <row r="346" s="17" customFormat="1" hidden="1" x14ac:dyDescent="0.35"/>
    <row r="347" s="17" customFormat="1" hidden="1" x14ac:dyDescent="0.35"/>
    <row r="348" s="17" customFormat="1" hidden="1" x14ac:dyDescent="0.35"/>
    <row r="349" s="17" customFormat="1" hidden="1" x14ac:dyDescent="0.35"/>
    <row r="350" s="17" customFormat="1" hidden="1" x14ac:dyDescent="0.35"/>
    <row r="351" s="17" customFormat="1" hidden="1" x14ac:dyDescent="0.35"/>
    <row r="352" s="17" customFormat="1" hidden="1" x14ac:dyDescent="0.35"/>
    <row r="353" s="17" customFormat="1" hidden="1" x14ac:dyDescent="0.35"/>
    <row r="354" s="17" customFormat="1" hidden="1" x14ac:dyDescent="0.35"/>
    <row r="355" s="17" customFormat="1" hidden="1" x14ac:dyDescent="0.35"/>
    <row r="356" s="17" customFormat="1" hidden="1" x14ac:dyDescent="0.35"/>
    <row r="357" s="17" customFormat="1" hidden="1" x14ac:dyDescent="0.35"/>
    <row r="358" s="17" customFormat="1" hidden="1" x14ac:dyDescent="0.35"/>
    <row r="359" s="17" customFormat="1" hidden="1" x14ac:dyDescent="0.35"/>
    <row r="360" s="17" customFormat="1" hidden="1" x14ac:dyDescent="0.35"/>
    <row r="361" s="17" customFormat="1" hidden="1" x14ac:dyDescent="0.35"/>
    <row r="362" s="17" customFormat="1" hidden="1" x14ac:dyDescent="0.35"/>
    <row r="363" s="17" customFormat="1" hidden="1" x14ac:dyDescent="0.35"/>
    <row r="364" s="17" customFormat="1" hidden="1" x14ac:dyDescent="0.35"/>
    <row r="365" s="17" customFormat="1" hidden="1" x14ac:dyDescent="0.35"/>
    <row r="366" s="17" customFormat="1" hidden="1" x14ac:dyDescent="0.35"/>
    <row r="367" s="17" customFormat="1" hidden="1" x14ac:dyDescent="0.35"/>
    <row r="368" s="17" customFormat="1" hidden="1" x14ac:dyDescent="0.35"/>
    <row r="369" s="17" customFormat="1" hidden="1" x14ac:dyDescent="0.35"/>
    <row r="370" s="17" customFormat="1" hidden="1" x14ac:dyDescent="0.35"/>
    <row r="371" s="17" customFormat="1" hidden="1" x14ac:dyDescent="0.35"/>
    <row r="372" s="17" customFormat="1" hidden="1" x14ac:dyDescent="0.35"/>
    <row r="373" s="17" customFormat="1" hidden="1" x14ac:dyDescent="0.35"/>
    <row r="374" s="17" customFormat="1" hidden="1" x14ac:dyDescent="0.35"/>
    <row r="375" s="17" customFormat="1" hidden="1" x14ac:dyDescent="0.35"/>
    <row r="376" s="17" customFormat="1" hidden="1" x14ac:dyDescent="0.35"/>
    <row r="377" s="17" customFormat="1" hidden="1" x14ac:dyDescent="0.35"/>
    <row r="378" s="17" customFormat="1" hidden="1" x14ac:dyDescent="0.35"/>
    <row r="379" s="17" customFormat="1" hidden="1" x14ac:dyDescent="0.35"/>
    <row r="380" s="17" customFormat="1" hidden="1" x14ac:dyDescent="0.35"/>
    <row r="381" s="17" customFormat="1" hidden="1" x14ac:dyDescent="0.35"/>
    <row r="382" s="17" customFormat="1" hidden="1" x14ac:dyDescent="0.35"/>
    <row r="383" s="17" customFormat="1" hidden="1" x14ac:dyDescent="0.35"/>
    <row r="384" s="17" customFormat="1" hidden="1" x14ac:dyDescent="0.35"/>
    <row r="385" s="17" customFormat="1" hidden="1" x14ac:dyDescent="0.35"/>
    <row r="386" s="17" customFormat="1" hidden="1" x14ac:dyDescent="0.35"/>
    <row r="387" s="17" customFormat="1" hidden="1" x14ac:dyDescent="0.35"/>
    <row r="388" s="17" customFormat="1" hidden="1" x14ac:dyDescent="0.35"/>
    <row r="389" s="17" customFormat="1" hidden="1" x14ac:dyDescent="0.35"/>
    <row r="390" s="17" customFormat="1" hidden="1" x14ac:dyDescent="0.35"/>
    <row r="391" s="17" customFormat="1" hidden="1" x14ac:dyDescent="0.35"/>
    <row r="392" s="17" customFormat="1" hidden="1" x14ac:dyDescent="0.35"/>
    <row r="393" s="17" customFormat="1" hidden="1" x14ac:dyDescent="0.35"/>
    <row r="394" s="17" customFormat="1" hidden="1" x14ac:dyDescent="0.35"/>
    <row r="395" s="17" customFormat="1" hidden="1" x14ac:dyDescent="0.35"/>
    <row r="396" s="17" customFormat="1" hidden="1" x14ac:dyDescent="0.35"/>
    <row r="397" s="17" customFormat="1" hidden="1" x14ac:dyDescent="0.35"/>
    <row r="398" s="17" customFormat="1" hidden="1" x14ac:dyDescent="0.35"/>
    <row r="399" s="17" customFormat="1" hidden="1" x14ac:dyDescent="0.35"/>
    <row r="400" s="17" customFormat="1" hidden="1" x14ac:dyDescent="0.35"/>
    <row r="401" s="17" customFormat="1" hidden="1" x14ac:dyDescent="0.35"/>
    <row r="402" s="17" customFormat="1" hidden="1" x14ac:dyDescent="0.35"/>
    <row r="403" s="17" customFormat="1" hidden="1" x14ac:dyDescent="0.35"/>
    <row r="404" s="17" customFormat="1" hidden="1" x14ac:dyDescent="0.35"/>
    <row r="405" s="17" customFormat="1" hidden="1" x14ac:dyDescent="0.35"/>
    <row r="406" s="17" customFormat="1" hidden="1" x14ac:dyDescent="0.35"/>
    <row r="407" s="17" customFormat="1" hidden="1" x14ac:dyDescent="0.35"/>
    <row r="408" s="17" customFormat="1" hidden="1" x14ac:dyDescent="0.35"/>
    <row r="409" s="17" customFormat="1" hidden="1" x14ac:dyDescent="0.35"/>
    <row r="410" s="17" customFormat="1" hidden="1" x14ac:dyDescent="0.35"/>
    <row r="411" s="17" customFormat="1" hidden="1" x14ac:dyDescent="0.35"/>
    <row r="412" s="17" customFormat="1" hidden="1" x14ac:dyDescent="0.35"/>
    <row r="413" s="17" customFormat="1" hidden="1" x14ac:dyDescent="0.35"/>
    <row r="414" s="17" customFormat="1" hidden="1" x14ac:dyDescent="0.35"/>
    <row r="415" s="17" customFormat="1" hidden="1" x14ac:dyDescent="0.35"/>
    <row r="416" s="17" customFormat="1" hidden="1" x14ac:dyDescent="0.35"/>
    <row r="417" s="17" customFormat="1" hidden="1" x14ac:dyDescent="0.35"/>
    <row r="418" s="17" customFormat="1" hidden="1" x14ac:dyDescent="0.35"/>
    <row r="419" s="17" customFormat="1" hidden="1" x14ac:dyDescent="0.35"/>
    <row r="420" s="17" customFormat="1" hidden="1" x14ac:dyDescent="0.35"/>
    <row r="421" s="17" customFormat="1" hidden="1" x14ac:dyDescent="0.35"/>
    <row r="422" s="17" customFormat="1" hidden="1" x14ac:dyDescent="0.35"/>
    <row r="423" s="17" customFormat="1" hidden="1" x14ac:dyDescent="0.35"/>
    <row r="424" s="17" customFormat="1" hidden="1" x14ac:dyDescent="0.35"/>
    <row r="425" s="17" customFormat="1" hidden="1" x14ac:dyDescent="0.35"/>
    <row r="426" s="17" customFormat="1" hidden="1" x14ac:dyDescent="0.35"/>
    <row r="427" s="17" customFormat="1" hidden="1" x14ac:dyDescent="0.35"/>
    <row r="428" s="17" customFormat="1" hidden="1" x14ac:dyDescent="0.35"/>
    <row r="429" s="17" customFormat="1" hidden="1" x14ac:dyDescent="0.35"/>
    <row r="430" s="17" customFormat="1" hidden="1" x14ac:dyDescent="0.35"/>
    <row r="431" s="17" customFormat="1" hidden="1" x14ac:dyDescent="0.35"/>
    <row r="432" s="17" customFormat="1" hidden="1" x14ac:dyDescent="0.35"/>
    <row r="433" s="17" customFormat="1" hidden="1" x14ac:dyDescent="0.35"/>
    <row r="434" s="17" customFormat="1" hidden="1" x14ac:dyDescent="0.35"/>
    <row r="435" s="17" customFormat="1" hidden="1" x14ac:dyDescent="0.35"/>
    <row r="436" s="17" customFormat="1" hidden="1" x14ac:dyDescent="0.35"/>
    <row r="437" s="17" customFormat="1" hidden="1" x14ac:dyDescent="0.35"/>
    <row r="438" s="17" customFormat="1" hidden="1" x14ac:dyDescent="0.35"/>
    <row r="439" s="17" customFormat="1" hidden="1" x14ac:dyDescent="0.35"/>
    <row r="440" s="17" customFormat="1" hidden="1" x14ac:dyDescent="0.35"/>
    <row r="441" s="17" customFormat="1" hidden="1" x14ac:dyDescent="0.35"/>
    <row r="442" s="17" customFormat="1" hidden="1" x14ac:dyDescent="0.35"/>
    <row r="443" s="17" customFormat="1" hidden="1" x14ac:dyDescent="0.35"/>
    <row r="444" s="17" customFormat="1" hidden="1" x14ac:dyDescent="0.35"/>
    <row r="445" s="17" customFormat="1" hidden="1" x14ac:dyDescent="0.35"/>
    <row r="446" s="17" customFormat="1" hidden="1" x14ac:dyDescent="0.35"/>
    <row r="447" s="17" customFormat="1" hidden="1" x14ac:dyDescent="0.35"/>
    <row r="448" s="17" customFormat="1" hidden="1" x14ac:dyDescent="0.35"/>
    <row r="449" s="17" customFormat="1" hidden="1" x14ac:dyDescent="0.35"/>
    <row r="450" s="17" customFormat="1" hidden="1" x14ac:dyDescent="0.35"/>
    <row r="451" s="17" customFormat="1" hidden="1" x14ac:dyDescent="0.35"/>
    <row r="452" s="17" customFormat="1" hidden="1" x14ac:dyDescent="0.35"/>
    <row r="453" s="17" customFormat="1" hidden="1" x14ac:dyDescent="0.35"/>
    <row r="454" ht="14.5" customHeight="1" x14ac:dyDescent="0.35"/>
    <row r="455" ht="14.5" customHeight="1" x14ac:dyDescent="0.35"/>
    <row r="456" ht="14.5" customHeight="1" x14ac:dyDescent="0.35"/>
  </sheetData>
  <sheetProtection algorithmName="SHA-512" hashValue="1gbKn27hp/lbrOH4i6HDCppsM4lJfnhcz0sGOU7c+rAQQwPmPI78jc09U7iK8jNWw6/ZnWQYeuBH8wHDYh59RA==" saltValue="jBuHnQa41A18K5kcL3zvE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3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5"/>
  <cols>
    <col min="1" max="1" width="4" style="39" customWidth="1"/>
    <col min="2" max="2" width="60.1796875" style="39" customWidth="1"/>
    <col min="3" max="3" width="11.7265625" style="39" customWidth="1"/>
    <col min="4" max="4" width="7.7265625" style="39" customWidth="1"/>
    <col min="5" max="5" width="10" style="39" customWidth="1"/>
    <col min="6" max="7" width="12" style="39" customWidth="1"/>
    <col min="8" max="8" width="5.1796875" style="147" customWidth="1"/>
    <col min="9" max="9" width="6.81640625" style="39" customWidth="1"/>
    <col min="10" max="10" width="5.1796875" style="147" customWidth="1"/>
    <col min="11" max="11" width="6.81640625" style="39" customWidth="1"/>
    <col min="12" max="12" width="5.1796875" style="147" customWidth="1"/>
    <col min="13" max="13" width="6.81640625" style="39" customWidth="1"/>
    <col min="14" max="14" width="5.1796875" style="147" customWidth="1"/>
    <col min="15" max="15" width="6.81640625" style="39" customWidth="1"/>
    <col min="16" max="16" width="11.54296875" style="39" customWidth="1"/>
    <col min="17" max="17" width="5.1796875" style="147" customWidth="1"/>
    <col min="18" max="18" width="6.81640625" style="39" customWidth="1"/>
    <col min="19" max="19" width="5.1796875" style="147" customWidth="1"/>
    <col min="20" max="20" width="6.81640625" style="39" customWidth="1"/>
    <col min="21" max="21" width="5.1796875" style="147" customWidth="1"/>
    <col min="22" max="22" width="6.81640625" style="39" customWidth="1"/>
    <col min="23" max="23" width="5.1796875" style="147" customWidth="1"/>
    <col min="24" max="24" width="6.81640625" style="39" customWidth="1"/>
    <col min="25" max="25" width="11.54296875" style="39" customWidth="1"/>
    <col min="26" max="27" width="10.7265625" style="39" customWidth="1"/>
    <col min="28" max="28" width="9.1796875" style="39" customWidth="1"/>
    <col min="29" max="30" width="0" style="39" hidden="1" customWidth="1"/>
    <col min="31" max="16384" width="9.1796875" style="39" hidden="1"/>
  </cols>
  <sheetData>
    <row r="1" spans="1:28" ht="35.25" customHeight="1" x14ac:dyDescent="0.35">
      <c r="A1" s="15"/>
      <c r="B1" s="118" t="s">
        <v>127</v>
      </c>
      <c r="C1" s="100"/>
      <c r="D1" s="100"/>
      <c r="E1" s="100"/>
      <c r="F1" s="100"/>
      <c r="G1" s="100"/>
      <c r="H1" s="141"/>
      <c r="I1" s="100"/>
      <c r="J1" s="141"/>
      <c r="K1" s="100"/>
      <c r="L1" s="141"/>
      <c r="M1" s="100"/>
      <c r="N1" s="141"/>
      <c r="O1" s="100"/>
      <c r="P1" s="100"/>
      <c r="Q1" s="141"/>
      <c r="R1" s="100"/>
      <c r="S1" s="141"/>
      <c r="T1" s="100"/>
      <c r="U1" s="141"/>
      <c r="V1" s="100"/>
      <c r="W1" s="141"/>
      <c r="X1" s="100"/>
      <c r="Y1" s="100"/>
      <c r="Z1" s="100"/>
      <c r="AA1" s="100"/>
      <c r="AB1" s="100"/>
    </row>
    <row r="2" spans="1:28" s="50" customFormat="1" ht="5.15" customHeight="1" x14ac:dyDescent="0.35">
      <c r="B2" s="148"/>
      <c r="C2" s="149"/>
      <c r="D2" s="149"/>
      <c r="E2" s="149"/>
      <c r="F2" s="149"/>
      <c r="G2" s="149"/>
      <c r="H2" s="150"/>
      <c r="I2" s="149"/>
      <c r="J2" s="150"/>
      <c r="K2" s="149"/>
      <c r="L2" s="150"/>
      <c r="M2" s="149"/>
      <c r="N2" s="150"/>
      <c r="O2" s="149"/>
      <c r="P2" s="149"/>
      <c r="Q2" s="150"/>
      <c r="R2" s="149"/>
      <c r="S2" s="150"/>
      <c r="T2" s="149"/>
      <c r="U2" s="150"/>
      <c r="V2" s="149"/>
      <c r="W2" s="150"/>
      <c r="X2" s="149"/>
      <c r="Y2" s="149"/>
      <c r="AB2" s="149"/>
    </row>
    <row r="3" spans="1:28" s="114" customFormat="1" ht="31.5" customHeight="1" x14ac:dyDescent="0.45">
      <c r="B3" s="151" t="s">
        <v>121</v>
      </c>
      <c r="C3" s="115"/>
      <c r="D3" s="115"/>
      <c r="E3" s="115"/>
      <c r="F3" s="115"/>
      <c r="H3" s="142"/>
      <c r="I3" s="115"/>
      <c r="J3" s="142"/>
      <c r="K3" s="115"/>
      <c r="L3" s="142"/>
      <c r="M3" s="116"/>
      <c r="N3" s="142"/>
      <c r="O3" s="116"/>
      <c r="P3" s="116"/>
      <c r="Q3" s="142"/>
      <c r="R3" s="116"/>
      <c r="S3" s="142"/>
      <c r="T3" s="116"/>
      <c r="U3" s="142"/>
      <c r="V3" s="116"/>
      <c r="W3" s="142"/>
      <c r="X3" s="116"/>
      <c r="Y3" s="116"/>
      <c r="Z3" s="115"/>
      <c r="AA3" s="117"/>
    </row>
    <row r="4" spans="1:28" ht="35.5" customHeight="1" thickBot="1" x14ac:dyDescent="0.6">
      <c r="B4" s="152" t="s">
        <v>221</v>
      </c>
      <c r="C4" s="18"/>
      <c r="D4" s="18"/>
      <c r="E4" s="18"/>
      <c r="F4" s="51"/>
      <c r="G4" s="18"/>
      <c r="H4" s="143"/>
      <c r="I4" s="18"/>
      <c r="J4" s="143"/>
      <c r="K4" s="18"/>
      <c r="L4" s="143"/>
      <c r="M4" s="19"/>
      <c r="N4" s="143"/>
      <c r="O4" s="19"/>
      <c r="P4" s="19"/>
      <c r="Q4" s="143"/>
      <c r="R4" s="19"/>
      <c r="S4" s="143"/>
      <c r="T4" s="19"/>
      <c r="U4" s="143"/>
      <c r="V4" s="19"/>
      <c r="W4" s="143"/>
      <c r="X4" s="19"/>
      <c r="Y4" s="19"/>
      <c r="Z4" s="18"/>
      <c r="AA4" s="20"/>
    </row>
    <row r="5" spans="1:28" ht="30.75" customHeight="1" thickTop="1" thickBot="1" x14ac:dyDescent="0.4">
      <c r="B5" s="372" t="s">
        <v>18</v>
      </c>
      <c r="C5" s="373" t="s">
        <v>22</v>
      </c>
      <c r="D5" s="373" t="s">
        <v>91</v>
      </c>
      <c r="E5" s="373" t="s">
        <v>23</v>
      </c>
      <c r="F5" s="333" t="s">
        <v>28</v>
      </c>
      <c r="G5" s="334"/>
      <c r="H5" s="333" t="s">
        <v>31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3" t="s">
        <v>4</v>
      </c>
      <c r="AA5" s="334"/>
    </row>
    <row r="6" spans="1:28" ht="44.15" customHeight="1" thickTop="1" thickBot="1" x14ac:dyDescent="0.4">
      <c r="B6" s="372"/>
      <c r="C6" s="374"/>
      <c r="D6" s="374"/>
      <c r="E6" s="374"/>
      <c r="F6" s="335" t="s">
        <v>29</v>
      </c>
      <c r="G6" s="337" t="s">
        <v>30</v>
      </c>
      <c r="H6" s="333" t="s">
        <v>36</v>
      </c>
      <c r="I6" s="339"/>
      <c r="J6" s="339"/>
      <c r="K6" s="339"/>
      <c r="L6" s="339"/>
      <c r="M6" s="339"/>
      <c r="N6" s="339"/>
      <c r="O6" s="339"/>
      <c r="P6" s="339"/>
      <c r="Q6" s="333" t="s">
        <v>35</v>
      </c>
      <c r="R6" s="339"/>
      <c r="S6" s="339"/>
      <c r="T6" s="339"/>
      <c r="U6" s="339"/>
      <c r="V6" s="339"/>
      <c r="W6" s="339"/>
      <c r="X6" s="339"/>
      <c r="Y6" s="339"/>
      <c r="Z6" s="335" t="s">
        <v>13</v>
      </c>
      <c r="AA6" s="337" t="s">
        <v>21</v>
      </c>
    </row>
    <row r="7" spans="1:28" ht="49.5" customHeight="1" thickTop="1" thickBot="1" x14ac:dyDescent="0.4">
      <c r="B7" s="372"/>
      <c r="C7" s="375"/>
      <c r="D7" s="375"/>
      <c r="E7" s="375"/>
      <c r="F7" s="336"/>
      <c r="G7" s="338"/>
      <c r="H7" s="340" t="s">
        <v>146</v>
      </c>
      <c r="I7" s="341"/>
      <c r="J7" s="342" t="s">
        <v>32</v>
      </c>
      <c r="K7" s="342"/>
      <c r="L7" s="342" t="s">
        <v>33</v>
      </c>
      <c r="M7" s="342"/>
      <c r="N7" s="343" t="s">
        <v>34</v>
      </c>
      <c r="O7" s="342"/>
      <c r="P7" s="266" t="s">
        <v>147</v>
      </c>
      <c r="Q7" s="340" t="s">
        <v>146</v>
      </c>
      <c r="R7" s="341"/>
      <c r="S7" s="342" t="s">
        <v>32</v>
      </c>
      <c r="T7" s="342"/>
      <c r="U7" s="342" t="s">
        <v>33</v>
      </c>
      <c r="V7" s="342"/>
      <c r="W7" s="343" t="s">
        <v>34</v>
      </c>
      <c r="X7" s="342"/>
      <c r="Y7" s="266" t="s">
        <v>147</v>
      </c>
      <c r="Z7" s="336"/>
      <c r="AA7" s="338"/>
    </row>
    <row r="8" spans="1:28" s="13" customFormat="1" ht="21.75" customHeight="1" thickTop="1" thickBot="1" x14ac:dyDescent="0.4">
      <c r="B8" s="31" t="s">
        <v>201</v>
      </c>
      <c r="C8" s="31" t="s">
        <v>24</v>
      </c>
      <c r="D8" s="73">
        <v>1</v>
      </c>
      <c r="E8" s="31" t="s">
        <v>25</v>
      </c>
      <c r="F8" s="81" t="str">
        <f>INDEX(Q4_Adult,15,7)</f>
        <v>No data</v>
      </c>
      <c r="G8" s="87" t="str">
        <f>INDEX(Q4_Adult,15,8)</f>
        <v>No data</v>
      </c>
      <c r="H8" s="244" t="str">
        <f>INDEX(Q4_Adult,15,9)</f>
        <v>No data</v>
      </c>
      <c r="I8" s="234">
        <f>IFERROR(H8/P8,0)</f>
        <v>0</v>
      </c>
      <c r="J8" s="235" t="str">
        <f>INDEX(Q4_Adult,15,10)</f>
        <v>No data</v>
      </c>
      <c r="K8" s="234">
        <f>IFERROR(J8/P8,0)</f>
        <v>0</v>
      </c>
      <c r="L8" s="235" t="str">
        <f>INDEX(Q4_Adult,15,11)</f>
        <v>No data</v>
      </c>
      <c r="M8" s="234">
        <f>IFERROR(L8/P8,0)</f>
        <v>0</v>
      </c>
      <c r="N8" s="235" t="str">
        <f>INDEX(Q4_Adult,15,12)</f>
        <v>No data</v>
      </c>
      <c r="O8" s="234">
        <f>IFERROR(N8/P8,0)</f>
        <v>0</v>
      </c>
      <c r="P8" s="236" t="str">
        <f>INDEX(Q4_Adult,15,13)</f>
        <v>No data</v>
      </c>
      <c r="Q8" s="233" t="str">
        <f>INDEX(Q4_Adult,15,15)</f>
        <v>No data</v>
      </c>
      <c r="R8" s="234">
        <f>IFERROR(Q8/Y8,0)</f>
        <v>0</v>
      </c>
      <c r="S8" s="235" t="str">
        <f>INDEX(Q4_Adult,15,16)</f>
        <v>No data</v>
      </c>
      <c r="T8" s="234">
        <f>IFERROR(S8/Y8,0)</f>
        <v>0</v>
      </c>
      <c r="U8" s="237" t="str">
        <f>INDEX(Q4_Adult,15,17)</f>
        <v>No data</v>
      </c>
      <c r="V8" s="234">
        <f>IFERROR(U8/Y8,0)</f>
        <v>0</v>
      </c>
      <c r="W8" s="235" t="str">
        <f>INDEX(Q4_Adult,15,18)</f>
        <v>No data</v>
      </c>
      <c r="X8" s="234">
        <f>IFERROR(W8/Y8,0)</f>
        <v>0</v>
      </c>
      <c r="Y8" s="138" t="str">
        <f>INDEX(Q4_Adult,15,19)</f>
        <v>No data</v>
      </c>
      <c r="Z8" s="83" t="str">
        <f>INDEX(Q4_Adult,15,21)</f>
        <v>No data</v>
      </c>
      <c r="AA8" s="84" t="str">
        <f>INDEX(Q4_Adult,15,22)</f>
        <v>No data</v>
      </c>
    </row>
    <row r="9" spans="1:28" s="13" customFormat="1" ht="21.75" customHeight="1" thickTop="1" thickBot="1" x14ac:dyDescent="0.4">
      <c r="B9" s="32" t="s">
        <v>196</v>
      </c>
      <c r="C9" s="32" t="s">
        <v>24</v>
      </c>
      <c r="D9" s="74">
        <v>2</v>
      </c>
      <c r="E9" s="32" t="s">
        <v>26</v>
      </c>
      <c r="F9" s="82" t="str">
        <f>INDEX(Q4_Adult,6,7)</f>
        <v>No data</v>
      </c>
      <c r="G9" s="88" t="str">
        <f>INDEX(Q4_Adult,6,8)</f>
        <v>No data</v>
      </c>
      <c r="H9" s="238" t="str">
        <f>INDEX(Q4_Adult,6,9)</f>
        <v>No data</v>
      </c>
      <c r="I9" s="239">
        <f>IFERROR(H9/P9,0)</f>
        <v>0</v>
      </c>
      <c r="J9" s="240" t="str">
        <f>INDEX(Q4_Adult,6,10)</f>
        <v>No data</v>
      </c>
      <c r="K9" s="239">
        <f>IFERROR(J9/P9,0)</f>
        <v>0</v>
      </c>
      <c r="L9" s="240" t="str">
        <f>INDEX(Q4_Adult,6,11)</f>
        <v>No data</v>
      </c>
      <c r="M9" s="239">
        <f>IFERROR(L9/P9,0)</f>
        <v>0</v>
      </c>
      <c r="N9" s="240" t="str">
        <f>INDEX(Q4_Adult,6,12)</f>
        <v>No data</v>
      </c>
      <c r="O9" s="239">
        <f>IFERROR(N9/P9,0)</f>
        <v>0</v>
      </c>
      <c r="P9" s="241" t="str">
        <f>INDEX(Q4_Adult,6,13)</f>
        <v>No data</v>
      </c>
      <c r="Q9" s="242" t="str">
        <f>INDEX(Q4_Adult,6,15)</f>
        <v>No data</v>
      </c>
      <c r="R9" s="239">
        <f>IFERROR(Q9/Y9,0)</f>
        <v>0</v>
      </c>
      <c r="S9" s="240" t="str">
        <f>INDEX(Q4_Adult,6,16)</f>
        <v>No data</v>
      </c>
      <c r="T9" s="239">
        <f>IFERROR(S9/Y9,0)</f>
        <v>0</v>
      </c>
      <c r="U9" s="243" t="str">
        <f>INDEX(Q4_Adult,6,17)</f>
        <v>No data</v>
      </c>
      <c r="V9" s="239">
        <f>IFERROR(U9/Y9,0)</f>
        <v>0</v>
      </c>
      <c r="W9" s="240" t="str">
        <f>INDEX(Q4_Adult,6,18)</f>
        <v>No data</v>
      </c>
      <c r="X9" s="239">
        <f>IFERROR(W9/Y9,0)</f>
        <v>0</v>
      </c>
      <c r="Y9" s="139" t="str">
        <f>INDEX(Q4_Adult,6,19)</f>
        <v>No data</v>
      </c>
      <c r="Z9" s="85" t="str">
        <f>INDEX(Q4_Adult,6,21)</f>
        <v>No data</v>
      </c>
      <c r="AA9" s="86" t="str">
        <f>INDEX(Q4_Adult,6,22)</f>
        <v>No data</v>
      </c>
    </row>
    <row r="10" spans="1:28" s="99" customFormat="1" ht="21.75" customHeight="1" thickTop="1" thickBot="1" x14ac:dyDescent="0.4">
      <c r="B10" s="31" t="s">
        <v>195</v>
      </c>
      <c r="C10" s="31" t="s">
        <v>24</v>
      </c>
      <c r="D10" s="73">
        <v>3</v>
      </c>
      <c r="E10" s="31" t="s">
        <v>26</v>
      </c>
      <c r="F10" s="81" t="str">
        <f>INDEX(Q4_Adult,5,7)</f>
        <v>No data</v>
      </c>
      <c r="G10" s="87" t="str">
        <f>INDEX(Q4_Adult,5,8)</f>
        <v>No data</v>
      </c>
      <c r="H10" s="244" t="str">
        <f>INDEX(Q4_Adult,5,9)</f>
        <v>No data</v>
      </c>
      <c r="I10" s="234">
        <f>IFERROR(H10/P10,0)</f>
        <v>0</v>
      </c>
      <c r="J10" s="235" t="str">
        <f>INDEX(Q4_Adult,5,10)</f>
        <v>No data</v>
      </c>
      <c r="K10" s="234">
        <f>IFERROR(J10/P10,0)</f>
        <v>0</v>
      </c>
      <c r="L10" s="235" t="str">
        <f>INDEX(Q4_Adult,5,11)</f>
        <v>No data</v>
      </c>
      <c r="M10" s="234">
        <f>IFERROR(L10/P10,0)</f>
        <v>0</v>
      </c>
      <c r="N10" s="235" t="str">
        <f>INDEX(Q4_Adult,5,12)</f>
        <v>No data</v>
      </c>
      <c r="O10" s="234">
        <f>IFERROR(N10/P10,0)</f>
        <v>0</v>
      </c>
      <c r="P10" s="236" t="str">
        <f>INDEX(Q4_Adult,5,13)</f>
        <v>No data</v>
      </c>
      <c r="Q10" s="233" t="str">
        <f>INDEX(Q4_Adult,5,15)</f>
        <v>No data</v>
      </c>
      <c r="R10" s="234">
        <f>IFERROR(Q10/Y10,0)</f>
        <v>0</v>
      </c>
      <c r="S10" s="235" t="str">
        <f>INDEX(Q4_Adult,5,16)</f>
        <v>No data</v>
      </c>
      <c r="T10" s="234">
        <f>IFERROR(S10/Y10,0)</f>
        <v>0</v>
      </c>
      <c r="U10" s="237" t="str">
        <f>INDEX(Q4_Adult,5,17)</f>
        <v>No data</v>
      </c>
      <c r="V10" s="234">
        <f>IFERROR(U10/Y10,0)</f>
        <v>0</v>
      </c>
      <c r="W10" s="235" t="str">
        <f>INDEX(Q4_Adult,5,18)</f>
        <v>No data</v>
      </c>
      <c r="X10" s="234">
        <f>IFERROR(W10/Y10,0)</f>
        <v>0</v>
      </c>
      <c r="Y10" s="138" t="str">
        <f>INDEX(Q4_Adult,5,19)</f>
        <v>No data</v>
      </c>
      <c r="Z10" s="83" t="str">
        <f>INDEX(Q4_Adult,5,21)</f>
        <v>No data</v>
      </c>
      <c r="AA10" s="84" t="str">
        <f>INDEX(Q4_Adult,5,22)</f>
        <v>No data</v>
      </c>
    </row>
    <row r="11" spans="1:28" s="13" customFormat="1" ht="21.75" customHeight="1" thickTop="1" thickBot="1" x14ac:dyDescent="0.4">
      <c r="B11" s="32" t="s">
        <v>197</v>
      </c>
      <c r="C11" s="32" t="s">
        <v>24</v>
      </c>
      <c r="D11" s="74">
        <v>3</v>
      </c>
      <c r="E11" s="32" t="s">
        <v>26</v>
      </c>
      <c r="F11" s="82" t="str">
        <f>INDEX(Q4_Adult,7,7)</f>
        <v>No data</v>
      </c>
      <c r="G11" s="88" t="str">
        <f>INDEX(Q4_Adult,7,8)</f>
        <v>No data</v>
      </c>
      <c r="H11" s="238" t="str">
        <f>INDEX(Q4_Adult,7,9)</f>
        <v>No data</v>
      </c>
      <c r="I11" s="239">
        <f t="shared" ref="I11:I25" si="0">IFERROR(H11/P11,0)</f>
        <v>0</v>
      </c>
      <c r="J11" s="240" t="str">
        <f>INDEX(Q4_Adult,7,10)</f>
        <v>No data</v>
      </c>
      <c r="K11" s="239">
        <f t="shared" ref="K11:K25" si="1">IFERROR(J11/P11,0)</f>
        <v>0</v>
      </c>
      <c r="L11" s="240" t="str">
        <f>INDEX(Q4_Adult,7,11)</f>
        <v>No data</v>
      </c>
      <c r="M11" s="239">
        <f t="shared" ref="M11:M25" si="2">IFERROR(L11/P11,0)</f>
        <v>0</v>
      </c>
      <c r="N11" s="240" t="str">
        <f>INDEX(Q4_Adult,7,12)</f>
        <v>No data</v>
      </c>
      <c r="O11" s="239">
        <f t="shared" ref="O11:O25" si="3">IFERROR(N11/P11,0)</f>
        <v>0</v>
      </c>
      <c r="P11" s="241" t="str">
        <f>INDEX(Q4_Adult,7,13)</f>
        <v>No data</v>
      </c>
      <c r="Q11" s="242" t="str">
        <f>INDEX(Q4_Adult,7,15)</f>
        <v>No data</v>
      </c>
      <c r="R11" s="239">
        <f t="shared" ref="R11:R25" si="4">IFERROR(Q11/Y11,0)</f>
        <v>0</v>
      </c>
      <c r="S11" s="240" t="str">
        <f>INDEX(Q4_Adult,7,16)</f>
        <v>No data</v>
      </c>
      <c r="T11" s="239">
        <f t="shared" ref="T11:T25" si="5">IFERROR(S11/Y11,0)</f>
        <v>0</v>
      </c>
      <c r="U11" s="243" t="str">
        <f>INDEX(Q4_Adult,7,17)</f>
        <v>No data</v>
      </c>
      <c r="V11" s="239">
        <f t="shared" ref="V11:V25" si="6">IFERROR(U11/Y11,0)</f>
        <v>0</v>
      </c>
      <c r="W11" s="240" t="str">
        <f>INDEX(Q4_Adult,7,18)</f>
        <v>No data</v>
      </c>
      <c r="X11" s="239">
        <f t="shared" ref="X11:X25" si="7">IFERROR(W11/Y11,0)</f>
        <v>0</v>
      </c>
      <c r="Y11" s="139" t="str">
        <f>INDEX(Q4_Adult,7,19)</f>
        <v>No data</v>
      </c>
      <c r="Z11" s="85" t="str">
        <f>INDEX(Q4_Adult,7,21)</f>
        <v>No data</v>
      </c>
      <c r="AA11" s="86" t="str">
        <f>INDEX(Q4_Adult,7,22)</f>
        <v>No data</v>
      </c>
    </row>
    <row r="12" spans="1:28" s="13" customFormat="1" ht="21.75" customHeight="1" thickTop="1" thickBot="1" x14ac:dyDescent="0.4">
      <c r="B12" s="31" t="s">
        <v>198</v>
      </c>
      <c r="C12" s="31" t="s">
        <v>24</v>
      </c>
      <c r="D12" s="73">
        <v>3</v>
      </c>
      <c r="E12" s="31" t="s">
        <v>26</v>
      </c>
      <c r="F12" s="81" t="str">
        <f>INDEX(Q4_Adult,8,7)</f>
        <v>No data</v>
      </c>
      <c r="G12" s="87" t="str">
        <f>INDEX(Q4_Adult,8,8)</f>
        <v>No data</v>
      </c>
      <c r="H12" s="244" t="str">
        <f>INDEX(Q4_Adult,8,9)</f>
        <v>No data</v>
      </c>
      <c r="I12" s="234">
        <f t="shared" si="0"/>
        <v>0</v>
      </c>
      <c r="J12" s="235" t="str">
        <f>INDEX(Q4_Adult,8,10)</f>
        <v>No data</v>
      </c>
      <c r="K12" s="234">
        <f t="shared" si="1"/>
        <v>0</v>
      </c>
      <c r="L12" s="235" t="str">
        <f>INDEX(Q4_Adult,8,11)</f>
        <v>No data</v>
      </c>
      <c r="M12" s="234">
        <f t="shared" si="2"/>
        <v>0</v>
      </c>
      <c r="N12" s="235" t="str">
        <f>INDEX(Q4_Adult,8,12)</f>
        <v>No data</v>
      </c>
      <c r="O12" s="234">
        <f t="shared" si="3"/>
        <v>0</v>
      </c>
      <c r="P12" s="236" t="str">
        <f>INDEX(Q4_Adult,8,13)</f>
        <v>No data</v>
      </c>
      <c r="Q12" s="233" t="str">
        <f>INDEX(Q4_Adult,8,15)</f>
        <v>No data</v>
      </c>
      <c r="R12" s="234">
        <f t="shared" si="4"/>
        <v>0</v>
      </c>
      <c r="S12" s="235" t="str">
        <f>INDEX(Q4_Adult,8,16)</f>
        <v>No data</v>
      </c>
      <c r="T12" s="234">
        <f t="shared" si="5"/>
        <v>0</v>
      </c>
      <c r="U12" s="237" t="str">
        <f>INDEX(Q4_Adult,8,17)</f>
        <v>No data</v>
      </c>
      <c r="V12" s="234">
        <f t="shared" si="6"/>
        <v>0</v>
      </c>
      <c r="W12" s="235" t="str">
        <f>INDEX(Q4_Adult,8,18)</f>
        <v>No data</v>
      </c>
      <c r="X12" s="234">
        <f t="shared" si="7"/>
        <v>0</v>
      </c>
      <c r="Y12" s="138" t="str">
        <f>INDEX(Q4_Adult,8,19)</f>
        <v>No data</v>
      </c>
      <c r="Z12" s="83" t="str">
        <f>INDEX(Q4_Adult,8,21)</f>
        <v>No data</v>
      </c>
      <c r="AA12" s="84" t="str">
        <f>INDEX(Q4_Adult,8,22)</f>
        <v>No data</v>
      </c>
    </row>
    <row r="13" spans="1:28" s="13" customFormat="1" ht="21.75" customHeight="1" thickTop="1" thickBot="1" x14ac:dyDescent="0.4">
      <c r="B13" s="32" t="s">
        <v>199</v>
      </c>
      <c r="C13" s="32" t="s">
        <v>24</v>
      </c>
      <c r="D13" s="74">
        <v>3</v>
      </c>
      <c r="E13" s="32" t="s">
        <v>26</v>
      </c>
      <c r="F13" s="82" t="str">
        <f>INDEX(Q4_Adult,9,7)</f>
        <v>No data</v>
      </c>
      <c r="G13" s="88" t="str">
        <f>INDEX(Q4_Adult,9,8)</f>
        <v>No data</v>
      </c>
      <c r="H13" s="238" t="str">
        <f>INDEX(Q4_Adult,9,9)</f>
        <v>No data</v>
      </c>
      <c r="I13" s="239">
        <f t="shared" si="0"/>
        <v>0</v>
      </c>
      <c r="J13" s="240" t="str">
        <f>INDEX(Q4_Adult,9,10)</f>
        <v>No data</v>
      </c>
      <c r="K13" s="239">
        <f t="shared" si="1"/>
        <v>0</v>
      </c>
      <c r="L13" s="240" t="str">
        <f>INDEX(Q4_Adult,9,11)</f>
        <v>No data</v>
      </c>
      <c r="M13" s="239">
        <f t="shared" si="2"/>
        <v>0</v>
      </c>
      <c r="N13" s="240" t="str">
        <f>INDEX(Q4_Adult,9,12)</f>
        <v>No data</v>
      </c>
      <c r="O13" s="239">
        <f t="shared" si="3"/>
        <v>0</v>
      </c>
      <c r="P13" s="241" t="str">
        <f>INDEX(Q4_Adult,9,13)</f>
        <v>No data</v>
      </c>
      <c r="Q13" s="242" t="str">
        <f>INDEX(Q4_Adult,9,15)</f>
        <v>No data</v>
      </c>
      <c r="R13" s="239">
        <f t="shared" si="4"/>
        <v>0</v>
      </c>
      <c r="S13" s="240" t="str">
        <f>INDEX(Q4_Adult,9,16)</f>
        <v>No data</v>
      </c>
      <c r="T13" s="239">
        <f t="shared" si="5"/>
        <v>0</v>
      </c>
      <c r="U13" s="243" t="str">
        <f>INDEX(Q4_Adult,9,17)</f>
        <v>No data</v>
      </c>
      <c r="V13" s="239">
        <f t="shared" si="6"/>
        <v>0</v>
      </c>
      <c r="W13" s="240" t="str">
        <f>INDEX(Q4_Adult,9,18)</f>
        <v>No data</v>
      </c>
      <c r="X13" s="239">
        <f t="shared" si="7"/>
        <v>0</v>
      </c>
      <c r="Y13" s="139" t="str">
        <f>INDEX(Q4_Adult,9,19)</f>
        <v>No data</v>
      </c>
      <c r="Z13" s="85" t="str">
        <f>INDEX(Q4_Adult,9,21)</f>
        <v>No data</v>
      </c>
      <c r="AA13" s="86" t="str">
        <f>INDEX(Q4_Adult,9,22)</f>
        <v>No data</v>
      </c>
    </row>
    <row r="14" spans="1:28" s="13" customFormat="1" ht="21.75" customHeight="1" thickTop="1" thickBot="1" x14ac:dyDescent="0.4">
      <c r="B14" s="31" t="s">
        <v>202</v>
      </c>
      <c r="C14" s="31" t="s">
        <v>24</v>
      </c>
      <c r="D14" s="73">
        <v>3</v>
      </c>
      <c r="E14" s="31" t="s">
        <v>26</v>
      </c>
      <c r="F14" s="81" t="str">
        <f>INDEX(Q4_Adult,10,7)</f>
        <v>No data</v>
      </c>
      <c r="G14" s="87" t="str">
        <f>INDEX(Q4_Adult,10,8)</f>
        <v>No data</v>
      </c>
      <c r="H14" s="244" t="str">
        <f>INDEX(Q4_Adult,10,9)</f>
        <v>No data</v>
      </c>
      <c r="I14" s="234">
        <f t="shared" si="0"/>
        <v>0</v>
      </c>
      <c r="J14" s="235" t="str">
        <f>INDEX(Q4_Adult,10,10)</f>
        <v>No data</v>
      </c>
      <c r="K14" s="234">
        <f t="shared" si="1"/>
        <v>0</v>
      </c>
      <c r="L14" s="235" t="str">
        <f>INDEX(Q4_Adult,10,11)</f>
        <v>No data</v>
      </c>
      <c r="M14" s="234">
        <f t="shared" si="2"/>
        <v>0</v>
      </c>
      <c r="N14" s="235" t="str">
        <f>INDEX(Q4_Adult,10,12)</f>
        <v>No data</v>
      </c>
      <c r="O14" s="234">
        <f t="shared" si="3"/>
        <v>0</v>
      </c>
      <c r="P14" s="236" t="str">
        <f>INDEX(Q4_Adult,10,13)</f>
        <v>No data</v>
      </c>
      <c r="Q14" s="233" t="str">
        <f>INDEX(Q4_Adult,10,15)</f>
        <v>No data</v>
      </c>
      <c r="R14" s="234">
        <f t="shared" si="4"/>
        <v>0</v>
      </c>
      <c r="S14" s="235" t="str">
        <f>INDEX(Q4_Adult,10,16)</f>
        <v>No data</v>
      </c>
      <c r="T14" s="234">
        <f t="shared" si="5"/>
        <v>0</v>
      </c>
      <c r="U14" s="237" t="str">
        <f>INDEX(Q4_Adult,10,17)</f>
        <v>No data</v>
      </c>
      <c r="V14" s="234">
        <f t="shared" si="6"/>
        <v>0</v>
      </c>
      <c r="W14" s="235" t="str">
        <f>INDEX(Q4_Adult,10,18)</f>
        <v>No data</v>
      </c>
      <c r="X14" s="234">
        <f t="shared" si="7"/>
        <v>0</v>
      </c>
      <c r="Y14" s="138" t="str">
        <f>INDEX(Q4_Adult,10,19)</f>
        <v>No data</v>
      </c>
      <c r="Z14" s="83" t="str">
        <f>INDEX(Q4_Adult,10,21)</f>
        <v>No data</v>
      </c>
      <c r="AA14" s="84" t="str">
        <f>INDEX(Q4_Adult,10,22)</f>
        <v>No data</v>
      </c>
    </row>
    <row r="15" spans="1:28" s="13" customFormat="1" ht="21.75" customHeight="1" thickTop="1" thickBot="1" x14ac:dyDescent="0.4">
      <c r="B15" s="32" t="s">
        <v>203</v>
      </c>
      <c r="C15" s="32" t="s">
        <v>24</v>
      </c>
      <c r="D15" s="74">
        <v>3</v>
      </c>
      <c r="E15" s="32" t="s">
        <v>26</v>
      </c>
      <c r="F15" s="82" t="str">
        <f>INDEX(Q4_Adult,11,7)</f>
        <v>No data</v>
      </c>
      <c r="G15" s="88" t="str">
        <f>INDEX(Q4_Adult,11,8)</f>
        <v>No data</v>
      </c>
      <c r="H15" s="238" t="str">
        <f>INDEX(Q4_Adult,11,9)</f>
        <v>No data</v>
      </c>
      <c r="I15" s="239">
        <f t="shared" si="0"/>
        <v>0</v>
      </c>
      <c r="J15" s="240" t="str">
        <f>INDEX(Q4_Adult,11,10)</f>
        <v>No data</v>
      </c>
      <c r="K15" s="239">
        <f t="shared" si="1"/>
        <v>0</v>
      </c>
      <c r="L15" s="240" t="str">
        <f>INDEX(Q4_Adult,11,11)</f>
        <v>No data</v>
      </c>
      <c r="M15" s="239">
        <f t="shared" si="2"/>
        <v>0</v>
      </c>
      <c r="N15" s="240" t="str">
        <f>INDEX(Q4_Adult,11,12)</f>
        <v>No data</v>
      </c>
      <c r="O15" s="239">
        <f t="shared" si="3"/>
        <v>0</v>
      </c>
      <c r="P15" s="241" t="str">
        <f>INDEX(Q4_Adult,11,13)</f>
        <v>No data</v>
      </c>
      <c r="Q15" s="242" t="str">
        <f>INDEX(Q4_Adult,11,15)</f>
        <v>No data</v>
      </c>
      <c r="R15" s="239">
        <f t="shared" si="4"/>
        <v>0</v>
      </c>
      <c r="S15" s="240" t="str">
        <f>INDEX(Q4_Adult,11,16)</f>
        <v>No data</v>
      </c>
      <c r="T15" s="239">
        <f t="shared" si="5"/>
        <v>0</v>
      </c>
      <c r="U15" s="243" t="str">
        <f>INDEX(Q4_Adult,11,17)</f>
        <v>No data</v>
      </c>
      <c r="V15" s="239">
        <f t="shared" si="6"/>
        <v>0</v>
      </c>
      <c r="W15" s="240" t="str">
        <f>INDEX(Q4_Adult,11,18)</f>
        <v>No data</v>
      </c>
      <c r="X15" s="239">
        <f t="shared" si="7"/>
        <v>0</v>
      </c>
      <c r="Y15" s="139" t="str">
        <f>INDEX(Q4_Adult,11,19)</f>
        <v>No data</v>
      </c>
      <c r="Z15" s="85" t="str">
        <f>INDEX(Q4_Adult,11,21)</f>
        <v>No data</v>
      </c>
      <c r="AA15" s="86" t="str">
        <f>INDEX(Q4_Adult,11,22)</f>
        <v>No data</v>
      </c>
    </row>
    <row r="16" spans="1:28" s="13" customFormat="1" ht="21.75" customHeight="1" thickTop="1" thickBot="1" x14ac:dyDescent="0.4">
      <c r="B16" s="31" t="s">
        <v>200</v>
      </c>
      <c r="C16" s="31" t="s">
        <v>24</v>
      </c>
      <c r="D16" s="73">
        <v>3</v>
      </c>
      <c r="E16" s="31" t="s">
        <v>26</v>
      </c>
      <c r="F16" s="81" t="str">
        <f>INDEX(Q4_Adult,12,7)</f>
        <v>No data</v>
      </c>
      <c r="G16" s="87" t="str">
        <f>INDEX(Q4_Adult,12,8)</f>
        <v>No data</v>
      </c>
      <c r="H16" s="244" t="str">
        <f>INDEX(Q4_Adult,12,9)</f>
        <v>No data</v>
      </c>
      <c r="I16" s="234">
        <f t="shared" si="0"/>
        <v>0</v>
      </c>
      <c r="J16" s="235" t="str">
        <f>INDEX(Q4_Adult,12,10)</f>
        <v>No data</v>
      </c>
      <c r="K16" s="234">
        <f t="shared" si="1"/>
        <v>0</v>
      </c>
      <c r="L16" s="235" t="str">
        <f>INDEX(Q4_Adult,12,11)</f>
        <v>No data</v>
      </c>
      <c r="M16" s="234">
        <f t="shared" si="2"/>
        <v>0</v>
      </c>
      <c r="N16" s="235" t="str">
        <f>INDEX(Q4_Adult,12,12)</f>
        <v>No data</v>
      </c>
      <c r="O16" s="234">
        <f t="shared" si="3"/>
        <v>0</v>
      </c>
      <c r="P16" s="236" t="str">
        <f>INDEX(Q4_Adult,12,13)</f>
        <v>No data</v>
      </c>
      <c r="Q16" s="233" t="str">
        <f>INDEX(Q4_Adult,12,15)</f>
        <v>No data</v>
      </c>
      <c r="R16" s="234">
        <f t="shared" si="4"/>
        <v>0</v>
      </c>
      <c r="S16" s="235" t="str">
        <f>INDEX(Q4_Adult,12,16)</f>
        <v>No data</v>
      </c>
      <c r="T16" s="234">
        <f t="shared" si="5"/>
        <v>0</v>
      </c>
      <c r="U16" s="237" t="str">
        <f>INDEX(Q4_Adult,12,17)</f>
        <v>No data</v>
      </c>
      <c r="V16" s="234">
        <f t="shared" si="6"/>
        <v>0</v>
      </c>
      <c r="W16" s="235" t="str">
        <f>INDEX(Q4_Adult,12,18)</f>
        <v>No data</v>
      </c>
      <c r="X16" s="234">
        <f t="shared" si="7"/>
        <v>0</v>
      </c>
      <c r="Y16" s="138" t="str">
        <f>INDEX(Q4_Adult,12,19)</f>
        <v>No data</v>
      </c>
      <c r="Z16" s="83" t="str">
        <f>INDEX(Q4_Adult,12,21)</f>
        <v>No data</v>
      </c>
      <c r="AA16" s="84" t="str">
        <f>INDEX(Q4_Adult,12,22)</f>
        <v>No data</v>
      </c>
    </row>
    <row r="17" spans="2:27" s="13" customFormat="1" ht="21.75" customHeight="1" thickTop="1" thickBot="1" x14ac:dyDescent="0.4">
      <c r="B17" s="32" t="s">
        <v>82</v>
      </c>
      <c r="C17" s="32" t="s">
        <v>24</v>
      </c>
      <c r="D17" s="74">
        <v>3</v>
      </c>
      <c r="E17" s="32" t="s">
        <v>25</v>
      </c>
      <c r="F17" s="82" t="str">
        <f>INDEX(Q4_Adult,13,7)</f>
        <v>No data</v>
      </c>
      <c r="G17" s="88" t="str">
        <f>INDEX(Q4_Adult,13,8)</f>
        <v>No data</v>
      </c>
      <c r="H17" s="238" t="str">
        <f>INDEX(Q4_Adult,13,9)</f>
        <v>No data</v>
      </c>
      <c r="I17" s="239">
        <f t="shared" si="0"/>
        <v>0</v>
      </c>
      <c r="J17" s="240" t="str">
        <f>INDEX(Q4_Adult,13,10)</f>
        <v>No data</v>
      </c>
      <c r="K17" s="239">
        <f t="shared" si="1"/>
        <v>0</v>
      </c>
      <c r="L17" s="240" t="str">
        <f>INDEX(Q4_Adult,13,11)</f>
        <v>No data</v>
      </c>
      <c r="M17" s="239">
        <f t="shared" si="2"/>
        <v>0</v>
      </c>
      <c r="N17" s="240" t="str">
        <f>INDEX(Q4_Adult,13,12)</f>
        <v>No data</v>
      </c>
      <c r="O17" s="239">
        <f t="shared" si="3"/>
        <v>0</v>
      </c>
      <c r="P17" s="241" t="str">
        <f>INDEX(Q4_Adult,13,13)</f>
        <v>No data</v>
      </c>
      <c r="Q17" s="242" t="str">
        <f>INDEX(Q4_Adult,13,15)</f>
        <v>No data</v>
      </c>
      <c r="R17" s="239">
        <f t="shared" si="4"/>
        <v>0</v>
      </c>
      <c r="S17" s="240" t="str">
        <f>INDEX(Q4_Adult,13,16)</f>
        <v>No data</v>
      </c>
      <c r="T17" s="239">
        <f t="shared" si="5"/>
        <v>0</v>
      </c>
      <c r="U17" s="243" t="str">
        <f>INDEX(Q4_Adult,13,17)</f>
        <v>No data</v>
      </c>
      <c r="V17" s="239">
        <f t="shared" si="6"/>
        <v>0</v>
      </c>
      <c r="W17" s="240" t="str">
        <f>INDEX(Q4_Adult,13,18)</f>
        <v>No data</v>
      </c>
      <c r="X17" s="239">
        <f t="shared" si="7"/>
        <v>0</v>
      </c>
      <c r="Y17" s="139" t="str">
        <f>INDEX(Q4_Adult,13,19)</f>
        <v>No data</v>
      </c>
      <c r="Z17" s="85" t="str">
        <f>INDEX(Q4_Adult,13,21)</f>
        <v>No data</v>
      </c>
      <c r="AA17" s="86" t="str">
        <f>INDEX(Q4_Adult,13,22)</f>
        <v>No data</v>
      </c>
    </row>
    <row r="18" spans="2:27" s="13" customFormat="1" ht="21.75" customHeight="1" thickTop="1" thickBot="1" x14ac:dyDescent="0.4">
      <c r="B18" s="31" t="s">
        <v>83</v>
      </c>
      <c r="C18" s="31" t="s">
        <v>24</v>
      </c>
      <c r="D18" s="73">
        <v>3</v>
      </c>
      <c r="E18" s="31" t="s">
        <v>25</v>
      </c>
      <c r="F18" s="81" t="str">
        <f>INDEX(Q4_Adult,14,7)</f>
        <v>No data</v>
      </c>
      <c r="G18" s="87" t="str">
        <f>INDEX(Q4_Adult,14,8)</f>
        <v>No data</v>
      </c>
      <c r="H18" s="244" t="str">
        <f>INDEX(Q4_Adult,14,9)</f>
        <v>No data</v>
      </c>
      <c r="I18" s="234">
        <f t="shared" si="0"/>
        <v>0</v>
      </c>
      <c r="J18" s="235" t="str">
        <f>INDEX(Q4_Adult,14,10)</f>
        <v>No data</v>
      </c>
      <c r="K18" s="234">
        <f t="shared" si="1"/>
        <v>0</v>
      </c>
      <c r="L18" s="235" t="str">
        <f>INDEX(Q4_Adult,14,11)</f>
        <v>No data</v>
      </c>
      <c r="M18" s="234">
        <f t="shared" si="2"/>
        <v>0</v>
      </c>
      <c r="N18" s="235" t="str">
        <f>INDEX(Q4_Adult,14,12)</f>
        <v>No data</v>
      </c>
      <c r="O18" s="234">
        <f t="shared" si="3"/>
        <v>0</v>
      </c>
      <c r="P18" s="236" t="str">
        <f>INDEX(Q4_Adult,14,13)</f>
        <v>No data</v>
      </c>
      <c r="Q18" s="233" t="str">
        <f>INDEX(Q4_Adult,14,15)</f>
        <v>No data</v>
      </c>
      <c r="R18" s="234">
        <f t="shared" si="4"/>
        <v>0</v>
      </c>
      <c r="S18" s="235" t="str">
        <f>INDEX(Q4_Adult,14,16)</f>
        <v>No data</v>
      </c>
      <c r="T18" s="234">
        <f t="shared" si="5"/>
        <v>0</v>
      </c>
      <c r="U18" s="237" t="str">
        <f>INDEX(Q4_Adult,14,17)</f>
        <v>No data</v>
      </c>
      <c r="V18" s="234">
        <f t="shared" si="6"/>
        <v>0</v>
      </c>
      <c r="W18" s="235" t="str">
        <f>INDEX(Q4_Adult,14,18)</f>
        <v>No data</v>
      </c>
      <c r="X18" s="234">
        <f t="shared" si="7"/>
        <v>0</v>
      </c>
      <c r="Y18" s="138" t="str">
        <f>INDEX(Q4_Adult,14,19)</f>
        <v>No data</v>
      </c>
      <c r="Z18" s="83" t="str">
        <f>INDEX(Q4_Adult,14,21)</f>
        <v>No data</v>
      </c>
      <c r="AA18" s="84" t="str">
        <f>INDEX(Q4_Adult,14,22)</f>
        <v>No data</v>
      </c>
    </row>
    <row r="19" spans="2:27" s="13" customFormat="1" ht="21.75" customHeight="1" thickTop="1" thickBot="1" x14ac:dyDescent="0.4">
      <c r="B19" s="32" t="s">
        <v>84</v>
      </c>
      <c r="C19" s="32" t="s">
        <v>24</v>
      </c>
      <c r="D19" s="74">
        <v>3</v>
      </c>
      <c r="E19" s="32" t="s">
        <v>25</v>
      </c>
      <c r="F19" s="82" t="str">
        <f>INDEX(Q4_Adult,16,7)</f>
        <v>No data</v>
      </c>
      <c r="G19" s="88" t="str">
        <f>INDEX(Q4_Adult,16,8)</f>
        <v>No data</v>
      </c>
      <c r="H19" s="238" t="str">
        <f>INDEX(Q4_Adult,16,9)</f>
        <v>No data</v>
      </c>
      <c r="I19" s="239">
        <f t="shared" si="0"/>
        <v>0</v>
      </c>
      <c r="J19" s="240" t="str">
        <f>INDEX(Q4_Adult,16,10)</f>
        <v>No data</v>
      </c>
      <c r="K19" s="239">
        <f t="shared" si="1"/>
        <v>0</v>
      </c>
      <c r="L19" s="240" t="str">
        <f>INDEX(Q4_Adult,16,11)</f>
        <v>No data</v>
      </c>
      <c r="M19" s="239">
        <f t="shared" si="2"/>
        <v>0</v>
      </c>
      <c r="N19" s="240" t="str">
        <f>INDEX(Q4_Adult,16,12)</f>
        <v>No data</v>
      </c>
      <c r="O19" s="239">
        <f t="shared" si="3"/>
        <v>0</v>
      </c>
      <c r="P19" s="241" t="str">
        <f>INDEX(Q4_Adult,16,13)</f>
        <v>No data</v>
      </c>
      <c r="Q19" s="242" t="str">
        <f>INDEX(Q4_Adult,16,15)</f>
        <v>No data</v>
      </c>
      <c r="R19" s="239">
        <f t="shared" si="4"/>
        <v>0</v>
      </c>
      <c r="S19" s="240" t="str">
        <f>INDEX(Q4_Adult,16,16)</f>
        <v>No data</v>
      </c>
      <c r="T19" s="239">
        <f t="shared" si="5"/>
        <v>0</v>
      </c>
      <c r="U19" s="243" t="str">
        <f>INDEX(Q4_Adult,16,17)</f>
        <v>No data</v>
      </c>
      <c r="V19" s="239">
        <f t="shared" si="6"/>
        <v>0</v>
      </c>
      <c r="W19" s="240" t="str">
        <f>INDEX(Q4_Adult,16,18)</f>
        <v>No data</v>
      </c>
      <c r="X19" s="239">
        <f t="shared" si="7"/>
        <v>0</v>
      </c>
      <c r="Y19" s="139" t="str">
        <f>INDEX(Q4_Adult,16,19)</f>
        <v>No data</v>
      </c>
      <c r="Z19" s="85" t="str">
        <f>INDEX(Q4_Adult,16,21)</f>
        <v>No data</v>
      </c>
      <c r="AA19" s="86" t="str">
        <f>INDEX(Q4_Adult,16,22)</f>
        <v>No data</v>
      </c>
    </row>
    <row r="20" spans="2:27" s="13" customFormat="1" ht="21.75" customHeight="1" thickTop="1" thickBot="1" x14ac:dyDescent="0.4">
      <c r="B20" s="31" t="s">
        <v>74</v>
      </c>
      <c r="C20" s="31" t="s">
        <v>24</v>
      </c>
      <c r="D20" s="73">
        <v>3</v>
      </c>
      <c r="E20" s="31" t="s">
        <v>25</v>
      </c>
      <c r="F20" s="81" t="str">
        <f>INDEX(Q4_Adult,17,7)</f>
        <v>No data</v>
      </c>
      <c r="G20" s="87" t="str">
        <f>INDEX(Q4_Adult,17,8)</f>
        <v>No data</v>
      </c>
      <c r="H20" s="244" t="str">
        <f>INDEX(Q4_Adult,17,9)</f>
        <v>No data</v>
      </c>
      <c r="I20" s="234">
        <f t="shared" si="0"/>
        <v>0</v>
      </c>
      <c r="J20" s="235" t="str">
        <f>INDEX(Q4_Adult,17,10)</f>
        <v>No data</v>
      </c>
      <c r="K20" s="234">
        <f t="shared" si="1"/>
        <v>0</v>
      </c>
      <c r="L20" s="235" t="str">
        <f>INDEX(Q4_Adult,17,11)</f>
        <v>No data</v>
      </c>
      <c r="M20" s="234">
        <f t="shared" si="2"/>
        <v>0</v>
      </c>
      <c r="N20" s="235" t="str">
        <f>INDEX(Q4_Adult,17,12)</f>
        <v>No data</v>
      </c>
      <c r="O20" s="234">
        <f t="shared" si="3"/>
        <v>0</v>
      </c>
      <c r="P20" s="236" t="str">
        <f>INDEX(Q4_Adult,17,13)</f>
        <v>No data</v>
      </c>
      <c r="Q20" s="233" t="str">
        <f>INDEX(Q4_Adult,17,15)</f>
        <v>No data</v>
      </c>
      <c r="R20" s="234">
        <f t="shared" si="4"/>
        <v>0</v>
      </c>
      <c r="S20" s="235" t="str">
        <f>INDEX(Q4_Adult,17,16)</f>
        <v>No data</v>
      </c>
      <c r="T20" s="234">
        <f t="shared" si="5"/>
        <v>0</v>
      </c>
      <c r="U20" s="237" t="str">
        <f>INDEX(Q4_Adult,17,17)</f>
        <v>No data</v>
      </c>
      <c r="V20" s="234">
        <f t="shared" si="6"/>
        <v>0</v>
      </c>
      <c r="W20" s="235" t="str">
        <f>INDEX(Q4_Adult,17,18)</f>
        <v>No data</v>
      </c>
      <c r="X20" s="234">
        <f t="shared" si="7"/>
        <v>0</v>
      </c>
      <c r="Y20" s="138" t="str">
        <f>INDEX(Q4_Adult,17,19)</f>
        <v>No data</v>
      </c>
      <c r="Z20" s="83" t="str">
        <f>INDEX(Q4_Adult,17,21)</f>
        <v>No data</v>
      </c>
      <c r="AA20" s="84" t="str">
        <f>INDEX(Q4_Adult,17,22)</f>
        <v>No data</v>
      </c>
    </row>
    <row r="21" spans="2:27" s="13" customFormat="1" ht="21.75" customHeight="1" thickTop="1" thickBot="1" x14ac:dyDescent="0.4">
      <c r="B21" s="32" t="s">
        <v>86</v>
      </c>
      <c r="C21" s="32" t="s">
        <v>24</v>
      </c>
      <c r="D21" s="74">
        <v>3</v>
      </c>
      <c r="E21" s="32" t="s">
        <v>25</v>
      </c>
      <c r="F21" s="82" t="str">
        <f>INDEX(Q4_Adult,18,7)</f>
        <v>No data</v>
      </c>
      <c r="G21" s="88" t="str">
        <f>INDEX(Q4_Adult,18,8)</f>
        <v>No data</v>
      </c>
      <c r="H21" s="238" t="str">
        <f>INDEX(Q4_Adult,18,9)</f>
        <v>No data</v>
      </c>
      <c r="I21" s="239">
        <f t="shared" si="0"/>
        <v>0</v>
      </c>
      <c r="J21" s="240" t="str">
        <f>INDEX(Q4_Adult,18,10)</f>
        <v>No data</v>
      </c>
      <c r="K21" s="239">
        <f t="shared" si="1"/>
        <v>0</v>
      </c>
      <c r="L21" s="240" t="str">
        <f>INDEX(Q4_Adult,18,11)</f>
        <v>No data</v>
      </c>
      <c r="M21" s="239">
        <f t="shared" si="2"/>
        <v>0</v>
      </c>
      <c r="N21" s="240" t="str">
        <f>INDEX(Q4_Adult,18,12)</f>
        <v>No data</v>
      </c>
      <c r="O21" s="239">
        <f t="shared" si="3"/>
        <v>0</v>
      </c>
      <c r="P21" s="241" t="str">
        <f>INDEX(Q4_Adult,18,13)</f>
        <v>No data</v>
      </c>
      <c r="Q21" s="242" t="str">
        <f>INDEX(Q4_Adult,18,15)</f>
        <v>No data</v>
      </c>
      <c r="R21" s="239">
        <f t="shared" si="4"/>
        <v>0</v>
      </c>
      <c r="S21" s="240" t="str">
        <f>INDEX(Q4_Adult,18,16)</f>
        <v>No data</v>
      </c>
      <c r="T21" s="239">
        <f t="shared" si="5"/>
        <v>0</v>
      </c>
      <c r="U21" s="243" t="str">
        <f>INDEX(Q4_Adult,18,17)</f>
        <v>No data</v>
      </c>
      <c r="V21" s="239">
        <f t="shared" si="6"/>
        <v>0</v>
      </c>
      <c r="W21" s="240" t="str">
        <f>INDEX(Q4_Adult,18,18)</f>
        <v>No data</v>
      </c>
      <c r="X21" s="239">
        <f t="shared" si="7"/>
        <v>0</v>
      </c>
      <c r="Y21" s="139" t="str">
        <f>INDEX(Q4_Adult,18,19)</f>
        <v>No data</v>
      </c>
      <c r="Z21" s="85" t="str">
        <f>INDEX(Q4_Adult,18,21)</f>
        <v>No data</v>
      </c>
      <c r="AA21" s="86" t="str">
        <f>INDEX(Q4_Adult,18,22)</f>
        <v>No data</v>
      </c>
    </row>
    <row r="22" spans="2:27" s="13" customFormat="1" ht="21.75" customHeight="1" thickTop="1" thickBot="1" x14ac:dyDescent="0.4">
      <c r="B22" s="31" t="s">
        <v>60</v>
      </c>
      <c r="C22" s="31" t="s">
        <v>24</v>
      </c>
      <c r="D22" s="73">
        <v>3</v>
      </c>
      <c r="E22" s="31" t="s">
        <v>25</v>
      </c>
      <c r="F22" s="81" t="str">
        <f>INDEX(Q4_Adult,19,7)</f>
        <v>No data</v>
      </c>
      <c r="G22" s="87" t="str">
        <f>INDEX(Q4_Adult,19,8)</f>
        <v>No data</v>
      </c>
      <c r="H22" s="244" t="str">
        <f>INDEX(Q4_Adult,19,9)</f>
        <v>No data</v>
      </c>
      <c r="I22" s="234">
        <f t="shared" si="0"/>
        <v>0</v>
      </c>
      <c r="J22" s="235" t="str">
        <f>INDEX(Q4_Adult,19,10)</f>
        <v>No data</v>
      </c>
      <c r="K22" s="234">
        <f t="shared" si="1"/>
        <v>0</v>
      </c>
      <c r="L22" s="235" t="str">
        <f>INDEX(Q4_Adult,19,11)</f>
        <v>No data</v>
      </c>
      <c r="M22" s="234">
        <f t="shared" si="2"/>
        <v>0</v>
      </c>
      <c r="N22" s="235" t="str">
        <f>INDEX(Q4_Adult,19,12)</f>
        <v>No data</v>
      </c>
      <c r="O22" s="234">
        <f t="shared" si="3"/>
        <v>0</v>
      </c>
      <c r="P22" s="236" t="str">
        <f>INDEX(Q4_Adult,19,13)</f>
        <v>No data</v>
      </c>
      <c r="Q22" s="233" t="str">
        <f>INDEX(Q4_Adult,19,15)</f>
        <v>No data</v>
      </c>
      <c r="R22" s="234">
        <f t="shared" si="4"/>
        <v>0</v>
      </c>
      <c r="S22" s="235" t="str">
        <f>INDEX(Q4_Adult,19,16)</f>
        <v>No data</v>
      </c>
      <c r="T22" s="234">
        <f t="shared" si="5"/>
        <v>0</v>
      </c>
      <c r="U22" s="237" t="str">
        <f>INDEX(Q4_Adult,19,17)</f>
        <v>No data</v>
      </c>
      <c r="V22" s="234">
        <f t="shared" si="6"/>
        <v>0</v>
      </c>
      <c r="W22" s="235" t="str">
        <f>INDEX(Q4_Adult,19,18)</f>
        <v>No data</v>
      </c>
      <c r="X22" s="234">
        <f t="shared" si="7"/>
        <v>0</v>
      </c>
      <c r="Y22" s="138" t="str">
        <f>INDEX(Q4_Adult,19,19)</f>
        <v>No data</v>
      </c>
      <c r="Z22" s="83" t="str">
        <f>INDEX(Q4_Adult,19,21)</f>
        <v>No data</v>
      </c>
      <c r="AA22" s="84" t="str">
        <f>INDEX(Q4_Adult,19,22)</f>
        <v>No data</v>
      </c>
    </row>
    <row r="23" spans="2:27" s="13" customFormat="1" ht="21.75" customHeight="1" thickTop="1" thickBot="1" x14ac:dyDescent="0.4">
      <c r="B23" s="32" t="s">
        <v>75</v>
      </c>
      <c r="C23" s="32" t="s">
        <v>24</v>
      </c>
      <c r="D23" s="74">
        <v>3</v>
      </c>
      <c r="E23" s="32" t="s">
        <v>25</v>
      </c>
      <c r="F23" s="82" t="str">
        <f>INDEX(Q4_Adult,20,7)</f>
        <v>No data</v>
      </c>
      <c r="G23" s="88" t="str">
        <f>INDEX(Q4_Adult,20,8)</f>
        <v>No data</v>
      </c>
      <c r="H23" s="238" t="str">
        <f>INDEX(Q4_Adult,20,9)</f>
        <v>No data</v>
      </c>
      <c r="I23" s="239">
        <f t="shared" si="0"/>
        <v>0</v>
      </c>
      <c r="J23" s="240" t="str">
        <f>INDEX(Q4_Adult,20,10)</f>
        <v>No data</v>
      </c>
      <c r="K23" s="239">
        <f t="shared" si="1"/>
        <v>0</v>
      </c>
      <c r="L23" s="240" t="str">
        <f>INDEX(Q4_Adult,20,11)</f>
        <v>No data</v>
      </c>
      <c r="M23" s="239">
        <f t="shared" si="2"/>
        <v>0</v>
      </c>
      <c r="N23" s="240" t="str">
        <f>INDEX(Q4_Adult,20,12)</f>
        <v>No data</v>
      </c>
      <c r="O23" s="239">
        <f t="shared" si="3"/>
        <v>0</v>
      </c>
      <c r="P23" s="241" t="str">
        <f>INDEX(Q4_Adult,20,13)</f>
        <v>No data</v>
      </c>
      <c r="Q23" s="242" t="str">
        <f>INDEX(Q4_Adult,20,15)</f>
        <v>No data</v>
      </c>
      <c r="R23" s="239">
        <f t="shared" si="4"/>
        <v>0</v>
      </c>
      <c r="S23" s="240" t="str">
        <f>INDEX(Q4_Adult,20,16)</f>
        <v>No data</v>
      </c>
      <c r="T23" s="239">
        <f t="shared" si="5"/>
        <v>0</v>
      </c>
      <c r="U23" s="243" t="str">
        <f>INDEX(Q4_Adult,20,17)</f>
        <v>No data</v>
      </c>
      <c r="V23" s="239">
        <f t="shared" si="6"/>
        <v>0</v>
      </c>
      <c r="W23" s="240" t="str">
        <f>INDEX(Q4_Adult,20,18)</f>
        <v>No data</v>
      </c>
      <c r="X23" s="239">
        <f t="shared" si="7"/>
        <v>0</v>
      </c>
      <c r="Y23" s="139" t="str">
        <f>INDEX(Q4_Adult,20,19)</f>
        <v>No data</v>
      </c>
      <c r="Z23" s="85" t="str">
        <f>INDEX(Q4_Adult,20,21)</f>
        <v>No data</v>
      </c>
      <c r="AA23" s="86" t="str">
        <f>INDEX(Q4_Adult,20,22)</f>
        <v>No data</v>
      </c>
    </row>
    <row r="24" spans="2:27" s="13" customFormat="1" ht="21.75" customHeight="1" thickTop="1" thickBot="1" x14ac:dyDescent="0.4">
      <c r="B24" s="31" t="s">
        <v>70</v>
      </c>
      <c r="C24" s="31" t="s">
        <v>24</v>
      </c>
      <c r="D24" s="73">
        <v>3</v>
      </c>
      <c r="E24" s="31" t="s">
        <v>25</v>
      </c>
      <c r="F24" s="81" t="str">
        <f>INDEX(Q4_Adult,21,7)</f>
        <v>No data</v>
      </c>
      <c r="G24" s="87" t="str">
        <f>INDEX(Q4_Adult,21,8)</f>
        <v>No data</v>
      </c>
      <c r="H24" s="244" t="str">
        <f>INDEX(Q4_Adult,21,9)</f>
        <v>No data</v>
      </c>
      <c r="I24" s="234">
        <f t="shared" si="0"/>
        <v>0</v>
      </c>
      <c r="J24" s="235" t="str">
        <f>INDEX(Q4_Adult,21,10)</f>
        <v>No data</v>
      </c>
      <c r="K24" s="234">
        <f t="shared" si="1"/>
        <v>0</v>
      </c>
      <c r="L24" s="235" t="str">
        <f>INDEX(Q4_Adult,21,11)</f>
        <v>No data</v>
      </c>
      <c r="M24" s="234">
        <f t="shared" si="2"/>
        <v>0</v>
      </c>
      <c r="N24" s="235" t="str">
        <f>INDEX(Q4_Adult,21,12)</f>
        <v>No data</v>
      </c>
      <c r="O24" s="234">
        <f t="shared" si="3"/>
        <v>0</v>
      </c>
      <c r="P24" s="236" t="str">
        <f>INDEX(Q4_Adult,21,13)</f>
        <v>No data</v>
      </c>
      <c r="Q24" s="233" t="str">
        <f>INDEX(Q4_Adult,21,15)</f>
        <v>No data</v>
      </c>
      <c r="R24" s="234">
        <f t="shared" si="4"/>
        <v>0</v>
      </c>
      <c r="S24" s="235" t="str">
        <f>INDEX(Q4_Adult,21,16)</f>
        <v>No data</v>
      </c>
      <c r="T24" s="234">
        <f t="shared" si="5"/>
        <v>0</v>
      </c>
      <c r="U24" s="237" t="str">
        <f>INDEX(Q4_Adult,21,17)</f>
        <v>No data</v>
      </c>
      <c r="V24" s="234">
        <f t="shared" si="6"/>
        <v>0</v>
      </c>
      <c r="W24" s="235" t="str">
        <f>INDEX(Q4_Adult,21,18)</f>
        <v>No data</v>
      </c>
      <c r="X24" s="234">
        <f t="shared" si="7"/>
        <v>0</v>
      </c>
      <c r="Y24" s="138" t="str">
        <f>INDEX(Q4_Adult,21,19)</f>
        <v>No data</v>
      </c>
      <c r="Z24" s="83" t="str">
        <f>INDEX(Q4_Adult,21,21)</f>
        <v>No data</v>
      </c>
      <c r="AA24" s="84" t="str">
        <f>INDEX(Q4_Adult,21,22)</f>
        <v>No data</v>
      </c>
    </row>
    <row r="25" spans="2:27" s="13" customFormat="1" ht="21.75" customHeight="1" thickTop="1" thickBot="1" x14ac:dyDescent="0.4">
      <c r="B25" s="32" t="s">
        <v>87</v>
      </c>
      <c r="C25" s="32" t="s">
        <v>24</v>
      </c>
      <c r="D25" s="74">
        <v>3</v>
      </c>
      <c r="E25" s="32" t="s">
        <v>25</v>
      </c>
      <c r="F25" s="82" t="str">
        <f>INDEX(Q4_Adult,22,7)</f>
        <v>No data</v>
      </c>
      <c r="G25" s="88" t="str">
        <f>INDEX(Q4_Adult,22,8)</f>
        <v>No data</v>
      </c>
      <c r="H25" s="238" t="str">
        <f>INDEX(Q4_Adult,22,9)</f>
        <v>No data</v>
      </c>
      <c r="I25" s="239">
        <f t="shared" si="0"/>
        <v>0</v>
      </c>
      <c r="J25" s="240" t="str">
        <f>INDEX(Q4_Adult,22,10)</f>
        <v>No data</v>
      </c>
      <c r="K25" s="239">
        <f t="shared" si="1"/>
        <v>0</v>
      </c>
      <c r="L25" s="240" t="str">
        <f>INDEX(Q4_Adult,22,11)</f>
        <v>No data</v>
      </c>
      <c r="M25" s="239">
        <f t="shared" si="2"/>
        <v>0</v>
      </c>
      <c r="N25" s="240" t="str">
        <f>INDEX(Q4_Adult,22,12)</f>
        <v>No data</v>
      </c>
      <c r="O25" s="239">
        <f t="shared" si="3"/>
        <v>0</v>
      </c>
      <c r="P25" s="241" t="str">
        <f>INDEX(Q4_Adult,22,13)</f>
        <v>No data</v>
      </c>
      <c r="Q25" s="242" t="str">
        <f>INDEX(Q4_Adult,22,15)</f>
        <v>No data</v>
      </c>
      <c r="R25" s="239">
        <f t="shared" si="4"/>
        <v>0</v>
      </c>
      <c r="S25" s="240" t="str">
        <f>INDEX(Q4_Adult,22,16)</f>
        <v>No data</v>
      </c>
      <c r="T25" s="239">
        <f t="shared" si="5"/>
        <v>0</v>
      </c>
      <c r="U25" s="243" t="str">
        <f>INDEX(Q4_Adult,22,17)</f>
        <v>No data</v>
      </c>
      <c r="V25" s="239">
        <f t="shared" si="6"/>
        <v>0</v>
      </c>
      <c r="W25" s="240" t="str">
        <f>INDEX(Q4_Adult,22,18)</f>
        <v>No data</v>
      </c>
      <c r="X25" s="239">
        <f t="shared" si="7"/>
        <v>0</v>
      </c>
      <c r="Y25" s="139" t="str">
        <f>INDEX(Q4_Adult,22,19)</f>
        <v>No data</v>
      </c>
      <c r="Z25" s="85" t="str">
        <f>INDEX(Q4_Adult,22,21)</f>
        <v>No data</v>
      </c>
      <c r="AA25" s="86" t="str">
        <f>INDEX(Q4_Adult,22,22)</f>
        <v>No data</v>
      </c>
    </row>
    <row r="26" spans="2:27" ht="15" thickTop="1" x14ac:dyDescent="0.35">
      <c r="B26" s="21"/>
      <c r="C26" s="21"/>
      <c r="D26" s="21"/>
      <c r="E26" s="21"/>
      <c r="F26" s="20"/>
      <c r="G26" s="20"/>
      <c r="H26" s="144"/>
      <c r="I26" s="20"/>
      <c r="J26" s="144"/>
      <c r="K26" s="20"/>
      <c r="L26" s="144"/>
      <c r="M26" s="20"/>
      <c r="N26" s="144"/>
      <c r="O26" s="20"/>
      <c r="P26" s="20"/>
      <c r="Q26" s="144"/>
      <c r="R26" s="20"/>
      <c r="S26" s="144"/>
      <c r="T26" s="20"/>
      <c r="U26" s="144"/>
      <c r="V26" s="20"/>
      <c r="W26" s="144"/>
      <c r="X26" s="20"/>
      <c r="Y26" s="20"/>
      <c r="Z26" s="20"/>
      <c r="AA26" s="20"/>
    </row>
    <row r="27" spans="2:27" ht="15" thickBot="1" x14ac:dyDescent="0.4">
      <c r="B27" s="21"/>
      <c r="C27" s="21"/>
      <c r="D27" s="21"/>
      <c r="E27" s="21"/>
      <c r="F27" s="20"/>
      <c r="G27" s="20"/>
      <c r="H27" s="144"/>
      <c r="I27" s="20"/>
      <c r="J27" s="144"/>
      <c r="K27" s="20"/>
      <c r="L27" s="144"/>
      <c r="M27" s="20"/>
      <c r="N27" s="144"/>
      <c r="O27" s="20"/>
      <c r="P27" s="20"/>
      <c r="Q27" s="144"/>
      <c r="R27" s="20"/>
      <c r="S27" s="144"/>
      <c r="T27" s="20"/>
      <c r="U27" s="144"/>
      <c r="V27" s="20"/>
      <c r="W27" s="144"/>
      <c r="X27" s="20"/>
      <c r="Y27" s="20"/>
      <c r="Z27" s="20"/>
      <c r="AA27" s="20"/>
    </row>
    <row r="28" spans="2:27" ht="14.5" x14ac:dyDescent="0.35">
      <c r="B28" s="344" t="s">
        <v>112</v>
      </c>
      <c r="C28" s="345" t="s">
        <v>113</v>
      </c>
      <c r="D28" s="346"/>
      <c r="E28" s="347"/>
      <c r="F28" s="354" t="s">
        <v>104</v>
      </c>
      <c r="G28" s="355"/>
      <c r="H28" s="356"/>
      <c r="I28" s="357"/>
      <c r="J28" s="360" t="s">
        <v>110</v>
      </c>
      <c r="K28" s="361"/>
      <c r="L28" s="364" t="s">
        <v>110</v>
      </c>
      <c r="M28" s="365"/>
      <c r="N28" s="368" t="s">
        <v>110</v>
      </c>
      <c r="O28" s="369"/>
      <c r="P28" s="267"/>
      <c r="Q28" s="356"/>
      <c r="R28" s="357"/>
      <c r="S28" s="360" t="s">
        <v>110</v>
      </c>
      <c r="T28" s="361"/>
      <c r="U28" s="364" t="s">
        <v>110</v>
      </c>
      <c r="V28" s="365"/>
      <c r="W28" s="368" t="s">
        <v>110</v>
      </c>
      <c r="X28" s="369"/>
      <c r="Y28" s="153"/>
      <c r="Z28" s="380" t="s">
        <v>107</v>
      </c>
      <c r="AA28" s="355"/>
    </row>
    <row r="29" spans="2:27" ht="14.5" x14ac:dyDescent="0.35">
      <c r="B29" s="344"/>
      <c r="C29" s="348"/>
      <c r="D29" s="349"/>
      <c r="E29" s="350"/>
      <c r="F29" s="381" t="s">
        <v>105</v>
      </c>
      <c r="G29" s="382"/>
      <c r="H29" s="358"/>
      <c r="I29" s="359"/>
      <c r="J29" s="362"/>
      <c r="K29" s="363"/>
      <c r="L29" s="366"/>
      <c r="M29" s="367"/>
      <c r="N29" s="370"/>
      <c r="O29" s="371"/>
      <c r="P29" s="268"/>
      <c r="Q29" s="358"/>
      <c r="R29" s="359"/>
      <c r="S29" s="362"/>
      <c r="T29" s="363"/>
      <c r="U29" s="366"/>
      <c r="V29" s="367"/>
      <c r="W29" s="370"/>
      <c r="X29" s="371"/>
      <c r="Y29" s="154"/>
      <c r="Z29" s="383" t="s">
        <v>108</v>
      </c>
      <c r="AA29" s="382"/>
    </row>
    <row r="30" spans="2:27" ht="15" thickBot="1" x14ac:dyDescent="0.4">
      <c r="B30" s="344"/>
      <c r="C30" s="351"/>
      <c r="D30" s="352"/>
      <c r="E30" s="353"/>
      <c r="F30" s="376" t="s">
        <v>106</v>
      </c>
      <c r="G30" s="377"/>
      <c r="H30" s="378"/>
      <c r="I30" s="379"/>
      <c r="J30" s="384" t="s">
        <v>111</v>
      </c>
      <c r="K30" s="379"/>
      <c r="L30" s="384" t="s">
        <v>111</v>
      </c>
      <c r="M30" s="379"/>
      <c r="N30" s="384" t="s">
        <v>111</v>
      </c>
      <c r="O30" s="379"/>
      <c r="P30" s="265"/>
      <c r="Q30" s="378"/>
      <c r="R30" s="379"/>
      <c r="S30" s="384" t="s">
        <v>111</v>
      </c>
      <c r="T30" s="379"/>
      <c r="U30" s="384" t="s">
        <v>111</v>
      </c>
      <c r="V30" s="379"/>
      <c r="W30" s="384" t="s">
        <v>111</v>
      </c>
      <c r="X30" s="379"/>
      <c r="Y30" s="140"/>
      <c r="Z30" s="385" t="s">
        <v>109</v>
      </c>
      <c r="AA30" s="377"/>
    </row>
    <row r="31" spans="2:27" ht="14.5" x14ac:dyDescent="0.35">
      <c r="B31" s="22"/>
      <c r="C31" s="22"/>
      <c r="D31" s="22"/>
      <c r="E31" s="22"/>
      <c r="F31" s="23"/>
      <c r="G31" s="23"/>
      <c r="H31" s="145"/>
      <c r="I31" s="23"/>
      <c r="J31" s="145"/>
      <c r="K31" s="23"/>
      <c r="L31" s="145"/>
      <c r="M31" s="23"/>
      <c r="N31" s="145"/>
      <c r="O31" s="23"/>
      <c r="P31" s="23"/>
      <c r="Q31" s="145"/>
      <c r="R31" s="23"/>
      <c r="S31" s="145"/>
      <c r="T31" s="23"/>
      <c r="U31" s="145"/>
      <c r="V31" s="23"/>
      <c r="W31" s="145"/>
      <c r="X31" s="23"/>
      <c r="Y31" s="23"/>
      <c r="Z31" s="23"/>
      <c r="AA31" s="24"/>
    </row>
    <row r="32" spans="2:27" ht="14.5" x14ac:dyDescent="0.35">
      <c r="B32" s="20"/>
      <c r="C32" s="20"/>
      <c r="D32" s="20"/>
      <c r="E32" s="20"/>
      <c r="F32" s="25">
        <v>10</v>
      </c>
      <c r="G32" s="25">
        <v>10</v>
      </c>
      <c r="H32" s="146">
        <v>10</v>
      </c>
      <c r="I32" s="25"/>
      <c r="J32" s="146">
        <v>10</v>
      </c>
      <c r="K32" s="25">
        <v>10</v>
      </c>
      <c r="L32" s="146">
        <v>10</v>
      </c>
      <c r="M32" s="25"/>
      <c r="N32" s="146"/>
      <c r="O32" s="25"/>
      <c r="P32" s="25"/>
      <c r="Q32" s="146"/>
      <c r="R32" s="25"/>
      <c r="S32" s="146"/>
      <c r="T32" s="25"/>
      <c r="U32" s="146"/>
      <c r="V32" s="25"/>
      <c r="W32" s="146"/>
      <c r="X32" s="25"/>
      <c r="Y32" s="25"/>
      <c r="Z32" s="25"/>
      <c r="AA32" s="20"/>
    </row>
    <row r="33" spans="2:27" ht="14.5" x14ac:dyDescent="0.35">
      <c r="B33" s="21" t="s">
        <v>19</v>
      </c>
      <c r="C33" s="21"/>
      <c r="D33" s="21"/>
      <c r="E33" s="21"/>
      <c r="F33" s="26"/>
      <c r="G33" s="20"/>
      <c r="H33" s="144"/>
      <c r="I33" s="20"/>
      <c r="J33" s="144"/>
      <c r="K33" s="20"/>
      <c r="L33" s="144"/>
      <c r="M33" s="20"/>
      <c r="N33" s="144"/>
      <c r="O33" s="20"/>
      <c r="P33" s="20"/>
      <c r="Q33" s="144"/>
      <c r="R33" s="20"/>
      <c r="S33" s="144"/>
      <c r="T33" s="20"/>
      <c r="U33" s="144"/>
      <c r="V33" s="20"/>
      <c r="W33" s="144"/>
      <c r="X33" s="20"/>
      <c r="Y33" s="20"/>
      <c r="Z33" s="20"/>
      <c r="AA33" s="20"/>
    </row>
    <row r="34" spans="2:27" ht="14.5" x14ac:dyDescent="0.35">
      <c r="B34" s="27" t="s">
        <v>20</v>
      </c>
      <c r="C34" s="27"/>
      <c r="D34" s="27"/>
      <c r="E34" s="27"/>
      <c r="F34" s="20"/>
      <c r="G34" s="20"/>
      <c r="H34" s="144"/>
      <c r="I34" s="20"/>
      <c r="J34" s="144"/>
      <c r="K34" s="20"/>
      <c r="L34" s="144"/>
      <c r="M34" s="20"/>
      <c r="N34" s="144"/>
      <c r="O34" s="20"/>
      <c r="P34" s="20"/>
      <c r="Q34" s="144"/>
      <c r="R34" s="20"/>
      <c r="S34" s="144"/>
      <c r="T34" s="20"/>
      <c r="U34" s="144"/>
      <c r="V34" s="20"/>
      <c r="W34" s="144"/>
      <c r="X34" s="20"/>
      <c r="Y34" s="20"/>
      <c r="Z34" s="20"/>
      <c r="AA34" s="20"/>
    </row>
    <row r="35" spans="2:27" ht="14.5" x14ac:dyDescent="0.35">
      <c r="B35" s="28"/>
      <c r="C35" s="28"/>
      <c r="D35" s="28"/>
      <c r="E35" s="28"/>
      <c r="F35" s="20"/>
      <c r="G35" s="20"/>
      <c r="H35" s="144"/>
      <c r="I35" s="20"/>
      <c r="J35" s="144"/>
      <c r="K35" s="20"/>
      <c r="L35" s="144"/>
      <c r="M35" s="20"/>
      <c r="N35" s="144"/>
      <c r="O35" s="20"/>
      <c r="P35" s="20"/>
      <c r="Q35" s="144"/>
      <c r="R35" s="20"/>
      <c r="S35" s="144"/>
      <c r="T35" s="20"/>
      <c r="U35" s="144"/>
      <c r="V35" s="20"/>
      <c r="W35" s="144"/>
      <c r="X35" s="20"/>
      <c r="Y35" s="20"/>
      <c r="Z35" s="20"/>
      <c r="AA35" s="20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58" priority="28" operator="containsText" text="N/A">
      <formula>NOT(ISERROR(SEARCH("N/A",F8)))</formula>
    </cfRule>
    <cfRule type="cellIs" dxfId="57" priority="35" operator="between">
      <formula>0.01</formula>
      <formula>13</formula>
    </cfRule>
    <cfRule type="cellIs" dxfId="56" priority="36" operator="between">
      <formula>13</formula>
      <formula>18</formula>
    </cfRule>
    <cfRule type="cellIs" dxfId="55" priority="37" operator="greaterThan">
      <formula>18</formula>
    </cfRule>
    <cfRule type="cellIs" dxfId="54" priority="38" operator="greaterThan">
      <formula>18</formula>
    </cfRule>
  </conditionalFormatting>
  <conditionalFormatting sqref="T8:T9 K8:K9">
    <cfRule type="cellIs" dxfId="53" priority="34" operator="greaterThan">
      <formula>0.5</formula>
    </cfRule>
  </conditionalFormatting>
  <conditionalFormatting sqref="M8:M9 V8:V9">
    <cfRule type="cellIs" dxfId="52" priority="33" operator="greaterThan">
      <formula>0.49</formula>
    </cfRule>
  </conditionalFormatting>
  <conditionalFormatting sqref="X8:X9 O8:O9">
    <cfRule type="cellIs" dxfId="51" priority="32" operator="greaterThan">
      <formula>0.5</formula>
    </cfRule>
  </conditionalFormatting>
  <conditionalFormatting sqref="Z8:AA9">
    <cfRule type="cellIs" dxfId="50" priority="29" operator="between">
      <formula>0.0001</formula>
      <formula>0.1</formula>
    </cfRule>
    <cfRule type="cellIs" dxfId="49" priority="30" operator="between">
      <formula>0.1</formula>
      <formula>0.19</formula>
    </cfRule>
    <cfRule type="cellIs" dxfId="48" priority="31" operator="greaterThan">
      <formula>0.2</formula>
    </cfRule>
  </conditionalFormatting>
  <conditionalFormatting sqref="J8:J9">
    <cfRule type="expression" dxfId="47" priority="27">
      <formula>($J8/$P8*100)&gt;49.49</formula>
    </cfRule>
  </conditionalFormatting>
  <conditionalFormatting sqref="L8:L9">
    <cfRule type="expression" dxfId="46" priority="26">
      <formula>($L8/$P8*100)&gt;49.49</formula>
    </cfRule>
  </conditionalFormatting>
  <conditionalFormatting sqref="N8:N9">
    <cfRule type="expression" dxfId="45" priority="25">
      <formula>($N8/$P8*100)&gt;49.49</formula>
    </cfRule>
  </conditionalFormatting>
  <conditionalFormatting sqref="S8:S9">
    <cfRule type="expression" dxfId="44" priority="24">
      <formula>($S8/$Y8*100)&gt;49.49</formula>
    </cfRule>
  </conditionalFormatting>
  <conditionalFormatting sqref="U8:U9">
    <cfRule type="expression" dxfId="43" priority="23">
      <formula>($U8/$Y8*100)&gt;49.49</formula>
    </cfRule>
  </conditionalFormatting>
  <conditionalFormatting sqref="W8:W9">
    <cfRule type="expression" dxfId="42" priority="22">
      <formula>($W8/$Y8*100)&gt;49.49</formula>
    </cfRule>
  </conditionalFormatting>
  <conditionalFormatting sqref="L9">
    <cfRule type="expression" dxfId="41" priority="21">
      <formula>"$M$9=&gt;.499"</formula>
    </cfRule>
  </conditionalFormatting>
  <conditionalFormatting sqref="F8:AA9">
    <cfRule type="expression" dxfId="40" priority="20">
      <formula>$F8="No data"</formula>
    </cfRule>
  </conditionalFormatting>
  <conditionalFormatting sqref="F10:G25">
    <cfRule type="containsText" dxfId="39" priority="9" operator="containsText" text="N/A">
      <formula>NOT(ISERROR(SEARCH("N/A",F10)))</formula>
    </cfRule>
    <cfRule type="cellIs" dxfId="38" priority="16" operator="between">
      <formula>0.01</formula>
      <formula>13</formula>
    </cfRule>
    <cfRule type="cellIs" dxfId="37" priority="17" operator="between">
      <formula>13</formula>
      <formula>18</formula>
    </cfRule>
    <cfRule type="cellIs" dxfId="36" priority="18" operator="greaterThan">
      <formula>18</formula>
    </cfRule>
    <cfRule type="cellIs" dxfId="35" priority="19" operator="greaterThan">
      <formula>18</formula>
    </cfRule>
  </conditionalFormatting>
  <conditionalFormatting sqref="T10:T25 K10:K25">
    <cfRule type="cellIs" dxfId="34" priority="15" operator="greaterThan">
      <formula>0.5</formula>
    </cfRule>
  </conditionalFormatting>
  <conditionalFormatting sqref="M10:M25 V10:V25">
    <cfRule type="cellIs" dxfId="33" priority="14" operator="greaterThan">
      <formula>0.49</formula>
    </cfRule>
  </conditionalFormatting>
  <conditionalFormatting sqref="X10:X25 O10:O25">
    <cfRule type="cellIs" dxfId="32" priority="13" operator="greaterThan">
      <formula>0.5</formula>
    </cfRule>
  </conditionalFormatting>
  <conditionalFormatting sqref="Z10:AA25">
    <cfRule type="cellIs" dxfId="31" priority="10" operator="between">
      <formula>0.0001</formula>
      <formula>0.1</formula>
    </cfRule>
    <cfRule type="cellIs" dxfId="30" priority="11" operator="between">
      <formula>0.1</formula>
      <formula>0.19</formula>
    </cfRule>
    <cfRule type="cellIs" dxfId="29" priority="12" operator="greaterThan">
      <formula>0.2</formula>
    </cfRule>
  </conditionalFormatting>
  <conditionalFormatting sqref="J10:J25">
    <cfRule type="expression" dxfId="28" priority="8">
      <formula>($J10/$P10*100)&gt;49.49</formula>
    </cfRule>
  </conditionalFormatting>
  <conditionalFormatting sqref="L10:L25">
    <cfRule type="expression" dxfId="27" priority="7">
      <formula>($L10/$P10*100)&gt;49.49</formula>
    </cfRule>
  </conditionalFormatting>
  <conditionalFormatting sqref="N10:N25">
    <cfRule type="expression" dxfId="26" priority="6">
      <formula>($N10/$P10*100)&gt;49.49</formula>
    </cfRule>
  </conditionalFormatting>
  <conditionalFormatting sqref="S10:S25">
    <cfRule type="expression" dxfId="25" priority="5">
      <formula>($S10/$Y10*100)&gt;49.49</formula>
    </cfRule>
  </conditionalFormatting>
  <conditionalFormatting sqref="U10:U25">
    <cfRule type="expression" dxfId="24" priority="4">
      <formula>($U10/$Y10*100)&gt;49.49</formula>
    </cfRule>
  </conditionalFormatting>
  <conditionalFormatting sqref="W10:W25">
    <cfRule type="expression" dxfId="23" priority="3">
      <formula>($W10/$Y10*100)&gt;49.49</formula>
    </cfRule>
  </conditionalFormatting>
  <conditionalFormatting sqref="L11 L13 L15 L17 L19 L21 L23 L25">
    <cfRule type="expression" dxfId="22" priority="2">
      <formula>"$M$9=&gt;.499"</formula>
    </cfRule>
  </conditionalFormatting>
  <conditionalFormatting sqref="F10:AA25">
    <cfRule type="expression" dxfId="21" priority="1">
      <formula>$F10="No data"</formula>
    </cfRule>
  </conditionalFormatting>
  <hyperlinks>
    <hyperlink ref="C28:E30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5"/>
  <cols>
    <col min="1" max="1" width="4" style="39" customWidth="1"/>
    <col min="2" max="2" width="59.7265625" style="39" customWidth="1"/>
    <col min="3" max="3" width="11.7265625" style="39" customWidth="1"/>
    <col min="4" max="4" width="7.7265625" style="39" customWidth="1"/>
    <col min="5" max="5" width="10" style="39" customWidth="1"/>
    <col min="6" max="7" width="12" style="39" customWidth="1"/>
    <col min="8" max="8" width="5.1796875" style="147" customWidth="1"/>
    <col min="9" max="9" width="6.81640625" style="39" customWidth="1"/>
    <col min="10" max="10" width="5.1796875" style="147" customWidth="1"/>
    <col min="11" max="11" width="6.81640625" style="39" customWidth="1"/>
    <col min="12" max="12" width="5.1796875" style="147" customWidth="1"/>
    <col min="13" max="13" width="6.81640625" style="39" customWidth="1"/>
    <col min="14" max="14" width="5.1796875" style="147" customWidth="1"/>
    <col min="15" max="15" width="6.81640625" style="39" customWidth="1"/>
    <col min="16" max="16" width="11.54296875" style="39" customWidth="1"/>
    <col min="17" max="17" width="5.1796875" style="147" customWidth="1"/>
    <col min="18" max="18" width="6.81640625" style="39" customWidth="1"/>
    <col min="19" max="19" width="5.1796875" style="147" customWidth="1"/>
    <col min="20" max="20" width="6.81640625" style="39" customWidth="1"/>
    <col min="21" max="21" width="5.1796875" style="147" customWidth="1"/>
    <col min="22" max="22" width="6.81640625" style="39" customWidth="1"/>
    <col min="23" max="23" width="5.1796875" style="147" customWidth="1"/>
    <col min="24" max="24" width="6.81640625" style="39" customWidth="1"/>
    <col min="25" max="25" width="11.54296875" style="39" customWidth="1"/>
    <col min="26" max="27" width="10.7265625" style="39" customWidth="1"/>
    <col min="28" max="28" width="9.1796875" style="39" customWidth="1"/>
    <col min="29" max="30" width="0" style="39" hidden="1" customWidth="1"/>
    <col min="31" max="16384" width="9.1796875" style="39" hidden="1"/>
  </cols>
  <sheetData>
    <row r="1" spans="1:28" ht="35.25" customHeight="1" x14ac:dyDescent="0.35">
      <c r="A1" s="15"/>
      <c r="B1" s="118" t="s">
        <v>127</v>
      </c>
      <c r="C1" s="100"/>
      <c r="D1" s="100"/>
      <c r="E1" s="100"/>
      <c r="F1" s="100"/>
      <c r="G1" s="100"/>
      <c r="H1" s="141"/>
      <c r="I1" s="100"/>
      <c r="J1" s="141"/>
      <c r="K1" s="100"/>
      <c r="L1" s="141"/>
      <c r="M1" s="100"/>
      <c r="N1" s="141"/>
      <c r="O1" s="100"/>
      <c r="P1" s="100"/>
      <c r="Q1" s="141"/>
      <c r="R1" s="100"/>
      <c r="S1" s="141"/>
      <c r="T1" s="100"/>
      <c r="U1" s="141"/>
      <c r="V1" s="100"/>
      <c r="W1" s="141"/>
      <c r="X1" s="100"/>
      <c r="Y1" s="100"/>
      <c r="Z1" s="100"/>
      <c r="AA1" s="100"/>
      <c r="AB1" s="100"/>
    </row>
    <row r="2" spans="1:28" s="50" customFormat="1" ht="5.15" customHeight="1" x14ac:dyDescent="0.35">
      <c r="B2" s="148"/>
      <c r="C2" s="149"/>
      <c r="D2" s="149"/>
      <c r="E2" s="149"/>
      <c r="F2" s="149"/>
      <c r="G2" s="149"/>
      <c r="H2" s="150"/>
      <c r="I2" s="149"/>
      <c r="J2" s="150"/>
      <c r="K2" s="149"/>
      <c r="L2" s="150"/>
      <c r="M2" s="149"/>
      <c r="N2" s="150"/>
      <c r="O2" s="149"/>
      <c r="P2" s="149"/>
      <c r="Q2" s="150"/>
      <c r="R2" s="149"/>
      <c r="S2" s="150"/>
      <c r="T2" s="149"/>
      <c r="U2" s="150"/>
      <c r="V2" s="149"/>
      <c r="W2" s="150"/>
      <c r="X2" s="149"/>
      <c r="Y2" s="149"/>
      <c r="AB2" s="149"/>
    </row>
    <row r="3" spans="1:28" s="114" customFormat="1" ht="31.5" customHeight="1" x14ac:dyDescent="0.45">
      <c r="B3" s="151" t="s">
        <v>121</v>
      </c>
      <c r="C3" s="115"/>
      <c r="D3" s="115"/>
      <c r="E3" s="115"/>
      <c r="F3" s="115"/>
      <c r="H3" s="142"/>
      <c r="I3" s="115"/>
      <c r="J3" s="142"/>
      <c r="K3" s="115"/>
      <c r="L3" s="142"/>
      <c r="M3" s="116"/>
      <c r="N3" s="142"/>
      <c r="O3" s="116"/>
      <c r="P3" s="116"/>
      <c r="Q3" s="142"/>
      <c r="R3" s="116"/>
      <c r="S3" s="142"/>
      <c r="T3" s="116"/>
      <c r="U3" s="142"/>
      <c r="V3" s="116"/>
      <c r="W3" s="142"/>
      <c r="X3" s="116"/>
      <c r="Y3" s="116"/>
      <c r="Z3" s="115"/>
      <c r="AA3" s="117"/>
    </row>
    <row r="4" spans="1:28" ht="35.5" customHeight="1" thickBot="1" x14ac:dyDescent="0.6">
      <c r="B4" s="152" t="s">
        <v>222</v>
      </c>
      <c r="C4" s="18"/>
      <c r="D4" s="18"/>
      <c r="E4" s="18"/>
      <c r="F4" s="51"/>
      <c r="G4" s="18"/>
      <c r="H4" s="143"/>
      <c r="I4" s="18"/>
      <c r="J4" s="143"/>
      <c r="K4" s="18"/>
      <c r="L4" s="143"/>
      <c r="M4" s="19"/>
      <c r="N4" s="143"/>
      <c r="O4" s="19"/>
      <c r="P4" s="19"/>
      <c r="Q4" s="143"/>
      <c r="R4" s="19"/>
      <c r="S4" s="143"/>
      <c r="T4" s="19"/>
      <c r="U4" s="143"/>
      <c r="V4" s="19"/>
      <c r="W4" s="143"/>
      <c r="X4" s="19"/>
      <c r="Y4" s="19"/>
      <c r="Z4" s="18"/>
      <c r="AA4" s="20"/>
    </row>
    <row r="5" spans="1:28" ht="30.75" customHeight="1" thickTop="1" thickBot="1" x14ac:dyDescent="0.4">
      <c r="B5" s="372" t="s">
        <v>18</v>
      </c>
      <c r="C5" s="373" t="s">
        <v>22</v>
      </c>
      <c r="D5" s="373" t="s">
        <v>91</v>
      </c>
      <c r="E5" s="373" t="s">
        <v>23</v>
      </c>
      <c r="F5" s="333" t="s">
        <v>28</v>
      </c>
      <c r="G5" s="334"/>
      <c r="H5" s="333" t="s">
        <v>31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3" t="s">
        <v>4</v>
      </c>
      <c r="AA5" s="334"/>
    </row>
    <row r="6" spans="1:28" ht="44.15" customHeight="1" thickTop="1" thickBot="1" x14ac:dyDescent="0.4">
      <c r="B6" s="372"/>
      <c r="C6" s="374"/>
      <c r="D6" s="374"/>
      <c r="E6" s="374"/>
      <c r="F6" s="335" t="s">
        <v>29</v>
      </c>
      <c r="G6" s="337" t="s">
        <v>30</v>
      </c>
      <c r="H6" s="333" t="s">
        <v>36</v>
      </c>
      <c r="I6" s="339"/>
      <c r="J6" s="339"/>
      <c r="K6" s="339"/>
      <c r="L6" s="339"/>
      <c r="M6" s="339"/>
      <c r="N6" s="339"/>
      <c r="O6" s="339"/>
      <c r="P6" s="339"/>
      <c r="Q6" s="333" t="s">
        <v>35</v>
      </c>
      <c r="R6" s="339"/>
      <c r="S6" s="339"/>
      <c r="T6" s="339"/>
      <c r="U6" s="339"/>
      <c r="V6" s="339"/>
      <c r="W6" s="339"/>
      <c r="X6" s="339"/>
      <c r="Y6" s="339"/>
      <c r="Z6" s="335" t="s">
        <v>13</v>
      </c>
      <c r="AA6" s="337" t="s">
        <v>21</v>
      </c>
    </row>
    <row r="7" spans="1:28" ht="51.75" customHeight="1" thickTop="1" thickBot="1" x14ac:dyDescent="0.4">
      <c r="B7" s="372"/>
      <c r="C7" s="375"/>
      <c r="D7" s="375"/>
      <c r="E7" s="375"/>
      <c r="F7" s="336"/>
      <c r="G7" s="338"/>
      <c r="H7" s="340" t="s">
        <v>146</v>
      </c>
      <c r="I7" s="341"/>
      <c r="J7" s="342" t="s">
        <v>32</v>
      </c>
      <c r="K7" s="342"/>
      <c r="L7" s="342" t="s">
        <v>33</v>
      </c>
      <c r="M7" s="342"/>
      <c r="N7" s="343" t="s">
        <v>34</v>
      </c>
      <c r="O7" s="342"/>
      <c r="P7" s="266" t="s">
        <v>147</v>
      </c>
      <c r="Q7" s="340" t="s">
        <v>146</v>
      </c>
      <c r="R7" s="341"/>
      <c r="S7" s="342" t="s">
        <v>32</v>
      </c>
      <c r="T7" s="342"/>
      <c r="U7" s="342" t="s">
        <v>33</v>
      </c>
      <c r="V7" s="342"/>
      <c r="W7" s="343" t="s">
        <v>34</v>
      </c>
      <c r="X7" s="342"/>
      <c r="Y7" s="266" t="s">
        <v>147</v>
      </c>
      <c r="Z7" s="336"/>
      <c r="AA7" s="338"/>
    </row>
    <row r="8" spans="1:28" s="99" customFormat="1" ht="21.75" customHeight="1" thickTop="1" thickBot="1" x14ac:dyDescent="0.4">
      <c r="B8" s="33" t="s">
        <v>201</v>
      </c>
      <c r="C8" s="33" t="s">
        <v>27</v>
      </c>
      <c r="D8" s="75">
        <v>1</v>
      </c>
      <c r="E8" s="33" t="s">
        <v>25</v>
      </c>
      <c r="F8" s="247" t="str">
        <f>INDEX(Q4_Paeds,15,7)</f>
        <v>No data</v>
      </c>
      <c r="G8" s="247" t="str">
        <f>INDEX(Q4_Paeds,15,8)</f>
        <v>No data</v>
      </c>
      <c r="H8" s="233" t="str">
        <f>INDEX(Q4_Paeds,15,9)</f>
        <v>No data</v>
      </c>
      <c r="I8" s="234">
        <f>IFERROR(H8/P8,0)</f>
        <v>0</v>
      </c>
      <c r="J8" s="235" t="str">
        <f>INDEX(Q4_Paeds,15,10)</f>
        <v>No data</v>
      </c>
      <c r="K8" s="234">
        <f>IFERROR(J8/P8,0)</f>
        <v>0</v>
      </c>
      <c r="L8" s="235" t="str">
        <f>INDEX(Q4_Paeds,15,11)</f>
        <v>No data</v>
      </c>
      <c r="M8" s="234">
        <f>IFERROR(L8/P8,0)</f>
        <v>0</v>
      </c>
      <c r="N8" s="235" t="str">
        <f>INDEX(Q4_Paeds,15,12)</f>
        <v>No data</v>
      </c>
      <c r="O8" s="234">
        <f>IFERROR(N8/P8,0)</f>
        <v>0</v>
      </c>
      <c r="P8" s="236" t="str">
        <f>INDEX(Q4_Paeds,15,13)</f>
        <v>No data</v>
      </c>
      <c r="Q8" s="233" t="str">
        <f>INDEX(Q4_Paeds,15,15)</f>
        <v>No data</v>
      </c>
      <c r="R8" s="234">
        <f>IFERROR(Q8/Y8,0)</f>
        <v>0</v>
      </c>
      <c r="S8" s="235" t="str">
        <f>INDEX(Q4_Paeds,15,16)</f>
        <v>No data</v>
      </c>
      <c r="T8" s="234">
        <f>IFERROR(S8/Y8,0)</f>
        <v>0</v>
      </c>
      <c r="U8" s="237" t="str">
        <f>INDEX(Q4_Paeds,15,17)</f>
        <v>No data</v>
      </c>
      <c r="V8" s="234">
        <f>IFERROR(U8/Y8,0)</f>
        <v>0</v>
      </c>
      <c r="W8" s="235" t="str">
        <f>INDEX(Q4_Paeds,15,18)</f>
        <v>No data</v>
      </c>
      <c r="X8" s="234">
        <f>IFERROR(W8/Y8,0)</f>
        <v>0</v>
      </c>
      <c r="Y8" s="236" t="str">
        <f>INDEX(Q4_Paeds,15,19)</f>
        <v>No data</v>
      </c>
      <c r="Z8" s="248" t="str">
        <f>INDEX(Q4_Paeds,15,21)</f>
        <v>No data</v>
      </c>
      <c r="AA8" s="249" t="str">
        <f>INDEX(Q4_Paeds,15,22)</f>
        <v>No data</v>
      </c>
    </row>
    <row r="9" spans="1:28" s="13" customFormat="1" ht="21.75" customHeight="1" thickTop="1" thickBot="1" x14ac:dyDescent="0.4">
      <c r="B9" s="34" t="s">
        <v>196</v>
      </c>
      <c r="C9" s="34" t="s">
        <v>27</v>
      </c>
      <c r="D9" s="76">
        <v>2</v>
      </c>
      <c r="E9" s="34" t="s">
        <v>26</v>
      </c>
      <c r="F9" s="250" t="str">
        <f>INDEX(Q4_Paeds,6,7)</f>
        <v>No data</v>
      </c>
      <c r="G9" s="251" t="str">
        <f>INDEX(Q4_Paeds,6,8)</f>
        <v>No data</v>
      </c>
      <c r="H9" s="238" t="str">
        <f>INDEX(Q4_Paeds,6,9)</f>
        <v>No data</v>
      </c>
      <c r="I9" s="239">
        <f>IFERROR(H9/P9,0)</f>
        <v>0</v>
      </c>
      <c r="J9" s="240" t="str">
        <f>INDEX(Q4_Paeds,6,10)</f>
        <v>No data</v>
      </c>
      <c r="K9" s="239">
        <f>IFERROR(J9/P9,0)</f>
        <v>0</v>
      </c>
      <c r="L9" s="240" t="str">
        <f>INDEX(Q4_Paeds,6,11)</f>
        <v>No data</v>
      </c>
      <c r="M9" s="239">
        <f>IFERROR(L9/P9,0)</f>
        <v>0</v>
      </c>
      <c r="N9" s="240" t="str">
        <f>INDEX(Q4_Paeds,6,12)</f>
        <v>No data</v>
      </c>
      <c r="O9" s="239">
        <f>IFERROR(N9/P9,0)</f>
        <v>0</v>
      </c>
      <c r="P9" s="241" t="str">
        <f>INDEX(Q4_Paeds,6,13)</f>
        <v>No data</v>
      </c>
      <c r="Q9" s="242" t="str">
        <f>INDEX(Q4_Paeds,6,15)</f>
        <v>No data</v>
      </c>
      <c r="R9" s="239">
        <f>IFERROR(Q9/Y9,0)</f>
        <v>0</v>
      </c>
      <c r="S9" s="240" t="str">
        <f>INDEX(Q4_Paeds,6,16)</f>
        <v>No data</v>
      </c>
      <c r="T9" s="239">
        <f>IFERROR(S9/Y9,0)</f>
        <v>0</v>
      </c>
      <c r="U9" s="243" t="str">
        <f>INDEX(Q4_Paeds,6,17)</f>
        <v>No data</v>
      </c>
      <c r="V9" s="239">
        <f>IFERROR(U9/Y9,0)</f>
        <v>0</v>
      </c>
      <c r="W9" s="240" t="str">
        <f>INDEX(Q4_Paeds,6,18)</f>
        <v>No data</v>
      </c>
      <c r="X9" s="239">
        <f>IFERROR(W9/Y9,0)</f>
        <v>0</v>
      </c>
      <c r="Y9" s="241" t="str">
        <f>INDEX(Q4_Paeds,6,19)</f>
        <v>No data</v>
      </c>
      <c r="Z9" s="252" t="str">
        <f>INDEX(Q4_Paeds,6,21)</f>
        <v>No data</v>
      </c>
      <c r="AA9" s="253" t="str">
        <f>INDEX(Q4_Paeds,6,22)</f>
        <v>No data</v>
      </c>
    </row>
    <row r="10" spans="1:28" s="13" customFormat="1" ht="21.75" customHeight="1" thickTop="1" thickBot="1" x14ac:dyDescent="0.4">
      <c r="B10" s="31" t="s">
        <v>195</v>
      </c>
      <c r="C10" s="31" t="s">
        <v>27</v>
      </c>
      <c r="D10" s="73">
        <v>3</v>
      </c>
      <c r="E10" s="31" t="s">
        <v>26</v>
      </c>
      <c r="F10" s="247" t="str">
        <f>INDEX(Q4_Paeds,5,7)</f>
        <v>No data</v>
      </c>
      <c r="G10" s="254" t="str">
        <f>INDEX(Q4_Paeds,5,8)</f>
        <v>No data</v>
      </c>
      <c r="H10" s="244" t="str">
        <f>INDEX(Q4_Paeds,5,9)</f>
        <v>No data</v>
      </c>
      <c r="I10" s="234">
        <f>IFERROR(H10/P10,0)</f>
        <v>0</v>
      </c>
      <c r="J10" s="235" t="str">
        <f>INDEX(Q4_Paeds,5,10)</f>
        <v>No data</v>
      </c>
      <c r="K10" s="234">
        <f>IFERROR(J10/P10,0)</f>
        <v>0</v>
      </c>
      <c r="L10" s="235" t="str">
        <f>INDEX(Q4_Paeds,5,11)</f>
        <v>No data</v>
      </c>
      <c r="M10" s="234">
        <f>IFERROR(L10/P10,0)</f>
        <v>0</v>
      </c>
      <c r="N10" s="235" t="str">
        <f>INDEX(Q4_Paeds,5,12)</f>
        <v>No data</v>
      </c>
      <c r="O10" s="234">
        <f>IFERROR(N10/P10,0)</f>
        <v>0</v>
      </c>
      <c r="P10" s="236" t="str">
        <f>INDEX(Q4_Paeds,5,13)</f>
        <v>No data</v>
      </c>
      <c r="Q10" s="233" t="str">
        <f>INDEX(Q4_Paeds,5,15)</f>
        <v>No data</v>
      </c>
      <c r="R10" s="234">
        <f>IFERROR(Q10/Y10,0)</f>
        <v>0</v>
      </c>
      <c r="S10" s="235" t="str">
        <f>INDEX(Q4_Paeds,5,16)</f>
        <v>No data</v>
      </c>
      <c r="T10" s="234">
        <f>IFERROR(S10/Y10,0)</f>
        <v>0</v>
      </c>
      <c r="U10" s="237" t="str">
        <f>INDEX(Q4_Paeds,5,17)</f>
        <v>No data</v>
      </c>
      <c r="V10" s="234">
        <f>IFERROR(U10/Y10,0)</f>
        <v>0</v>
      </c>
      <c r="W10" s="235" t="str">
        <f>INDEX(Q4_Paeds,5,18)</f>
        <v>No data</v>
      </c>
      <c r="X10" s="234">
        <f>IFERROR(W10/Y10,0)</f>
        <v>0</v>
      </c>
      <c r="Y10" s="236" t="str">
        <f>INDEX(Q4_Paeds,5,19)</f>
        <v>No data</v>
      </c>
      <c r="Z10" s="248" t="str">
        <f>INDEX(Q4_Paeds,5,21)</f>
        <v>No data</v>
      </c>
      <c r="AA10" s="249" t="str">
        <f>INDEX(Q4_Paeds,5,22)</f>
        <v>No data</v>
      </c>
    </row>
    <row r="11" spans="1:28" s="13" customFormat="1" ht="21.75" customHeight="1" thickTop="1" thickBot="1" x14ac:dyDescent="0.4">
      <c r="B11" s="35" t="s">
        <v>197</v>
      </c>
      <c r="C11" s="35" t="s">
        <v>27</v>
      </c>
      <c r="D11" s="77">
        <v>3</v>
      </c>
      <c r="E11" s="35" t="s">
        <v>26</v>
      </c>
      <c r="F11" s="250" t="str">
        <f>INDEX(Q4_Paeds,7,7)</f>
        <v>No data</v>
      </c>
      <c r="G11" s="251" t="str">
        <f>INDEX(Q4_Paeds,7,8)</f>
        <v>No data</v>
      </c>
      <c r="H11" s="238" t="str">
        <f>INDEX(Q4_Paeds,7,9)</f>
        <v>No data</v>
      </c>
      <c r="I11" s="239">
        <f t="shared" ref="I11:I25" si="0">IFERROR(H11/P11,0)</f>
        <v>0</v>
      </c>
      <c r="J11" s="240" t="str">
        <f>INDEX(Q4_Paeds,7,10)</f>
        <v>No data</v>
      </c>
      <c r="K11" s="239">
        <f t="shared" ref="K11:K25" si="1">IFERROR(J11/P11,0)</f>
        <v>0</v>
      </c>
      <c r="L11" s="240" t="str">
        <f>INDEX(Q4_Paeds,7,11)</f>
        <v>No data</v>
      </c>
      <c r="M11" s="239">
        <f t="shared" ref="M11:M25" si="2">IFERROR(L11/P11,0)</f>
        <v>0</v>
      </c>
      <c r="N11" s="240" t="str">
        <f>INDEX(Q4_Paeds,7,12)</f>
        <v>No data</v>
      </c>
      <c r="O11" s="239">
        <f t="shared" ref="O11:O25" si="3">IFERROR(N11/P11,0)</f>
        <v>0</v>
      </c>
      <c r="P11" s="241" t="str">
        <f>INDEX(Q4_Paeds,7,13)</f>
        <v>No data</v>
      </c>
      <c r="Q11" s="242" t="str">
        <f>INDEX(Q4_Paeds,7,15)</f>
        <v>No data</v>
      </c>
      <c r="R11" s="239">
        <f t="shared" ref="R11:R25" si="4">IFERROR(Q11/Y11,0)</f>
        <v>0</v>
      </c>
      <c r="S11" s="240" t="str">
        <f>INDEX(Q4_Paeds,7,16)</f>
        <v>No data</v>
      </c>
      <c r="T11" s="239">
        <f t="shared" ref="T11:T25" si="5">IFERROR(S11/Y11,0)</f>
        <v>0</v>
      </c>
      <c r="U11" s="243" t="str">
        <f>INDEX(Q4_Paeds,7,17)</f>
        <v>No data</v>
      </c>
      <c r="V11" s="239">
        <f t="shared" ref="V11:V25" si="6">IFERROR(U11/Y11,0)</f>
        <v>0</v>
      </c>
      <c r="W11" s="240" t="str">
        <f>INDEX(Q4_Paeds,7,18)</f>
        <v>No data</v>
      </c>
      <c r="X11" s="239">
        <f t="shared" ref="X11:X25" si="7">IFERROR(W11/Y11,0)</f>
        <v>0</v>
      </c>
      <c r="Y11" s="241" t="str">
        <f>INDEX(Q4_Paeds,7,19)</f>
        <v>No data</v>
      </c>
      <c r="Z11" s="252" t="str">
        <f>INDEX(Q4_Paeds,7,21)</f>
        <v>No data</v>
      </c>
      <c r="AA11" s="253" t="str">
        <f>INDEX(Q4_Paeds,7,22)</f>
        <v>No data</v>
      </c>
    </row>
    <row r="12" spans="1:28" s="13" customFormat="1" ht="21.75" customHeight="1" thickTop="1" thickBot="1" x14ac:dyDescent="0.4">
      <c r="B12" s="33" t="s">
        <v>198</v>
      </c>
      <c r="C12" s="33" t="s">
        <v>27</v>
      </c>
      <c r="D12" s="75">
        <v>3</v>
      </c>
      <c r="E12" s="33" t="s">
        <v>26</v>
      </c>
      <c r="F12" s="247" t="str">
        <f>INDEX(Q4_Paeds,8,7)</f>
        <v>No data</v>
      </c>
      <c r="G12" s="254" t="str">
        <f>INDEX(Q4_Paeds,8,8)</f>
        <v>No data</v>
      </c>
      <c r="H12" s="244" t="str">
        <f>INDEX(Q4_Paeds,8,9)</f>
        <v>No data</v>
      </c>
      <c r="I12" s="234">
        <f t="shared" si="0"/>
        <v>0</v>
      </c>
      <c r="J12" s="235" t="str">
        <f>INDEX(Q4_Paeds,8,10)</f>
        <v>No data</v>
      </c>
      <c r="K12" s="234">
        <f t="shared" si="1"/>
        <v>0</v>
      </c>
      <c r="L12" s="235" t="str">
        <f>INDEX(Q4_Paeds,8,11)</f>
        <v>No data</v>
      </c>
      <c r="M12" s="234">
        <f t="shared" si="2"/>
        <v>0</v>
      </c>
      <c r="N12" s="235" t="str">
        <f>INDEX(Q4_Paeds,8,12)</f>
        <v>No data</v>
      </c>
      <c r="O12" s="234">
        <f t="shared" si="3"/>
        <v>0</v>
      </c>
      <c r="P12" s="236" t="str">
        <f>INDEX(Q4_Paeds,8,13)</f>
        <v>No data</v>
      </c>
      <c r="Q12" s="233" t="str">
        <f>INDEX(Q4_Paeds,8,15)</f>
        <v>No data</v>
      </c>
      <c r="R12" s="234">
        <f t="shared" si="4"/>
        <v>0</v>
      </c>
      <c r="S12" s="235" t="str">
        <f>INDEX(Q4_Paeds,8,16)</f>
        <v>No data</v>
      </c>
      <c r="T12" s="234">
        <f t="shared" si="5"/>
        <v>0</v>
      </c>
      <c r="U12" s="237" t="str">
        <f>INDEX(Q4_Paeds,8,17)</f>
        <v>No data</v>
      </c>
      <c r="V12" s="234">
        <f t="shared" si="6"/>
        <v>0</v>
      </c>
      <c r="W12" s="235" t="str">
        <f>INDEX(Q4_Paeds,8,18)</f>
        <v>No data</v>
      </c>
      <c r="X12" s="234">
        <f t="shared" si="7"/>
        <v>0</v>
      </c>
      <c r="Y12" s="236" t="str">
        <f>INDEX(Q4_Paeds,8,19)</f>
        <v>No data</v>
      </c>
      <c r="Z12" s="248" t="str">
        <f>INDEX(Q4_Paeds,8,21)</f>
        <v>No data</v>
      </c>
      <c r="AA12" s="249" t="str">
        <f>INDEX(Q4_Paeds,8,22)</f>
        <v>No data</v>
      </c>
    </row>
    <row r="13" spans="1:28" s="13" customFormat="1" ht="21.75" customHeight="1" thickTop="1" thickBot="1" x14ac:dyDescent="0.4">
      <c r="B13" s="34" t="s">
        <v>199</v>
      </c>
      <c r="C13" s="34" t="s">
        <v>27</v>
      </c>
      <c r="D13" s="76">
        <v>3</v>
      </c>
      <c r="E13" s="34" t="s">
        <v>26</v>
      </c>
      <c r="F13" s="250" t="str">
        <f>INDEX(Q4_Paeds,9,7)</f>
        <v>No data</v>
      </c>
      <c r="G13" s="251" t="str">
        <f>INDEX(Q4_Paeds,9,8)</f>
        <v>No data</v>
      </c>
      <c r="H13" s="238" t="str">
        <f>INDEX(Q4_Paeds,9,9)</f>
        <v>No data</v>
      </c>
      <c r="I13" s="239">
        <f t="shared" si="0"/>
        <v>0</v>
      </c>
      <c r="J13" s="240" t="str">
        <f>INDEX(Q4_Paeds,9,10)</f>
        <v>No data</v>
      </c>
      <c r="K13" s="239">
        <f t="shared" si="1"/>
        <v>0</v>
      </c>
      <c r="L13" s="240" t="str">
        <f>INDEX(Q4_Paeds,9,11)</f>
        <v>No data</v>
      </c>
      <c r="M13" s="239">
        <f t="shared" si="2"/>
        <v>0</v>
      </c>
      <c r="N13" s="240" t="str">
        <f>INDEX(Q4_Paeds,9,12)</f>
        <v>No data</v>
      </c>
      <c r="O13" s="239">
        <f t="shared" si="3"/>
        <v>0</v>
      </c>
      <c r="P13" s="241" t="str">
        <f>INDEX(Q4_Paeds,9,13)</f>
        <v>No data</v>
      </c>
      <c r="Q13" s="242" t="str">
        <f>INDEX(Q4_Paeds,9,15)</f>
        <v>No data</v>
      </c>
      <c r="R13" s="239">
        <f t="shared" si="4"/>
        <v>0</v>
      </c>
      <c r="S13" s="240" t="str">
        <f>INDEX(Q4_Paeds,9,16)</f>
        <v>No data</v>
      </c>
      <c r="T13" s="239">
        <f t="shared" si="5"/>
        <v>0</v>
      </c>
      <c r="U13" s="243" t="str">
        <f>INDEX(Q4_Paeds,9,17)</f>
        <v>No data</v>
      </c>
      <c r="V13" s="239">
        <f t="shared" si="6"/>
        <v>0</v>
      </c>
      <c r="W13" s="240" t="str">
        <f>INDEX(Q4_Paeds,9,18)</f>
        <v>No data</v>
      </c>
      <c r="X13" s="239">
        <f t="shared" si="7"/>
        <v>0</v>
      </c>
      <c r="Y13" s="241" t="str">
        <f>INDEX(Q4_Paeds,9,19)</f>
        <v>No data</v>
      </c>
      <c r="Z13" s="252" t="str">
        <f>INDEX(Q4_Paeds,9,21)</f>
        <v>No data</v>
      </c>
      <c r="AA13" s="253" t="str">
        <f>INDEX(Q4_Paeds,9,22)</f>
        <v>No data</v>
      </c>
    </row>
    <row r="14" spans="1:28" s="13" customFormat="1" ht="21.75" customHeight="1" thickTop="1" thickBot="1" x14ac:dyDescent="0.4">
      <c r="B14" s="33" t="s">
        <v>202</v>
      </c>
      <c r="C14" s="33" t="s">
        <v>27</v>
      </c>
      <c r="D14" s="75">
        <v>3</v>
      </c>
      <c r="E14" s="33" t="s">
        <v>26</v>
      </c>
      <c r="F14" s="247" t="str">
        <f>INDEX(Q4_Paeds,10,7)</f>
        <v>No data</v>
      </c>
      <c r="G14" s="254" t="str">
        <f>INDEX(Q4_Paeds,10,8)</f>
        <v>No data</v>
      </c>
      <c r="H14" s="244" t="str">
        <f>INDEX(Q4_Paeds,10,9)</f>
        <v>No data</v>
      </c>
      <c r="I14" s="234">
        <f t="shared" si="0"/>
        <v>0</v>
      </c>
      <c r="J14" s="235" t="str">
        <f>INDEX(Q4_Paeds,10,10)</f>
        <v>No data</v>
      </c>
      <c r="K14" s="234">
        <f t="shared" si="1"/>
        <v>0</v>
      </c>
      <c r="L14" s="235" t="str">
        <f>INDEX(Q4_Paeds,10,11)</f>
        <v>No data</v>
      </c>
      <c r="M14" s="234">
        <f t="shared" si="2"/>
        <v>0</v>
      </c>
      <c r="N14" s="235" t="str">
        <f>INDEX(Q4_Paeds,10,12)</f>
        <v>No data</v>
      </c>
      <c r="O14" s="234">
        <f t="shared" si="3"/>
        <v>0</v>
      </c>
      <c r="P14" s="236" t="str">
        <f>INDEX(Q4_Paeds,10,13)</f>
        <v>No data</v>
      </c>
      <c r="Q14" s="233" t="str">
        <f>INDEX(Q4_Paeds,10,15)</f>
        <v>No data</v>
      </c>
      <c r="R14" s="234">
        <f t="shared" si="4"/>
        <v>0</v>
      </c>
      <c r="S14" s="235" t="str">
        <f>INDEX(Q4_Paeds,10,16)</f>
        <v>No data</v>
      </c>
      <c r="T14" s="234">
        <f t="shared" si="5"/>
        <v>0</v>
      </c>
      <c r="U14" s="237" t="str">
        <f>INDEX(Q4_Paeds,10,17)</f>
        <v>No data</v>
      </c>
      <c r="V14" s="234">
        <f t="shared" si="6"/>
        <v>0</v>
      </c>
      <c r="W14" s="235" t="str">
        <f>INDEX(Q4_Paeds,10,18)</f>
        <v>No data</v>
      </c>
      <c r="X14" s="234">
        <f t="shared" si="7"/>
        <v>0</v>
      </c>
      <c r="Y14" s="236" t="str">
        <f>INDEX(Q4_Paeds,10,19)</f>
        <v>No data</v>
      </c>
      <c r="Z14" s="248" t="str">
        <f>INDEX(Q4_Paeds,10,21)</f>
        <v>No data</v>
      </c>
      <c r="AA14" s="249" t="str">
        <f>INDEX(Q4_Paeds,10,22)</f>
        <v>No data</v>
      </c>
    </row>
    <row r="15" spans="1:28" s="13" customFormat="1" ht="21.75" customHeight="1" thickTop="1" thickBot="1" x14ac:dyDescent="0.4">
      <c r="B15" s="34" t="s">
        <v>203</v>
      </c>
      <c r="C15" s="34" t="s">
        <v>27</v>
      </c>
      <c r="D15" s="76">
        <v>3</v>
      </c>
      <c r="E15" s="34" t="s">
        <v>26</v>
      </c>
      <c r="F15" s="250" t="str">
        <f>INDEX(Q4_Paeds,11,7)</f>
        <v>No data</v>
      </c>
      <c r="G15" s="251" t="str">
        <f>INDEX(Q4_Paeds,11,8)</f>
        <v>No data</v>
      </c>
      <c r="H15" s="238" t="str">
        <f>INDEX(Q4_Paeds,11,9)</f>
        <v>No data</v>
      </c>
      <c r="I15" s="239">
        <f t="shared" si="0"/>
        <v>0</v>
      </c>
      <c r="J15" s="240" t="str">
        <f>INDEX(Q4_Paeds,11,10)</f>
        <v>No data</v>
      </c>
      <c r="K15" s="239">
        <f t="shared" si="1"/>
        <v>0</v>
      </c>
      <c r="L15" s="240" t="str">
        <f>INDEX(Q4_Paeds,11,11)</f>
        <v>No data</v>
      </c>
      <c r="M15" s="239">
        <f t="shared" si="2"/>
        <v>0</v>
      </c>
      <c r="N15" s="240" t="str">
        <f>INDEX(Q4_Paeds,11,12)</f>
        <v>No data</v>
      </c>
      <c r="O15" s="239">
        <f t="shared" si="3"/>
        <v>0</v>
      </c>
      <c r="P15" s="241" t="str">
        <f>INDEX(Q4_Paeds,11,13)</f>
        <v>No data</v>
      </c>
      <c r="Q15" s="242" t="str">
        <f>INDEX(Q4_Paeds,11,15)</f>
        <v>No data</v>
      </c>
      <c r="R15" s="239">
        <f t="shared" si="4"/>
        <v>0</v>
      </c>
      <c r="S15" s="240" t="str">
        <f>INDEX(Q4_Paeds,11,16)</f>
        <v>No data</v>
      </c>
      <c r="T15" s="239">
        <f t="shared" si="5"/>
        <v>0</v>
      </c>
      <c r="U15" s="243" t="str">
        <f>INDEX(Q4_Paeds,11,17)</f>
        <v>No data</v>
      </c>
      <c r="V15" s="239">
        <f t="shared" si="6"/>
        <v>0</v>
      </c>
      <c r="W15" s="240" t="str">
        <f>INDEX(Q4_Paeds,11,18)</f>
        <v>No data</v>
      </c>
      <c r="X15" s="239">
        <f t="shared" si="7"/>
        <v>0</v>
      </c>
      <c r="Y15" s="241" t="str">
        <f>INDEX(Q4_Paeds,11,19)</f>
        <v>No data</v>
      </c>
      <c r="Z15" s="252" t="str">
        <f>INDEX(Q4_Paeds,11,21)</f>
        <v>No data</v>
      </c>
      <c r="AA15" s="253" t="str">
        <f>INDEX(Q4_Paeds,11,22)</f>
        <v>No data</v>
      </c>
    </row>
    <row r="16" spans="1:28" s="13" customFormat="1" ht="21.75" customHeight="1" thickTop="1" thickBot="1" x14ac:dyDescent="0.4">
      <c r="B16" s="36" t="s">
        <v>200</v>
      </c>
      <c r="C16" s="36" t="s">
        <v>27</v>
      </c>
      <c r="D16" s="78">
        <v>3</v>
      </c>
      <c r="E16" s="36" t="s">
        <v>26</v>
      </c>
      <c r="F16" s="247" t="str">
        <f>INDEX(Q4_Paeds,12,7)</f>
        <v>No data</v>
      </c>
      <c r="G16" s="254" t="str">
        <f>INDEX(Q4_Paeds,12,8)</f>
        <v>No data</v>
      </c>
      <c r="H16" s="244" t="str">
        <f>INDEX(Q4_Paeds,12,9)</f>
        <v>No data</v>
      </c>
      <c r="I16" s="234">
        <f t="shared" si="0"/>
        <v>0</v>
      </c>
      <c r="J16" s="235" t="str">
        <f>INDEX(Q4_Paeds,12,10)</f>
        <v>No data</v>
      </c>
      <c r="K16" s="234">
        <f t="shared" si="1"/>
        <v>0</v>
      </c>
      <c r="L16" s="235" t="str">
        <f>INDEX(Q4_Paeds,12,11)</f>
        <v>No data</v>
      </c>
      <c r="M16" s="234">
        <f t="shared" si="2"/>
        <v>0</v>
      </c>
      <c r="N16" s="235" t="str">
        <f>INDEX(Q4_Paeds,12,12)</f>
        <v>No data</v>
      </c>
      <c r="O16" s="234">
        <f t="shared" si="3"/>
        <v>0</v>
      </c>
      <c r="P16" s="236" t="str">
        <f>INDEX(Q4_Paeds,12,13)</f>
        <v>No data</v>
      </c>
      <c r="Q16" s="233" t="str">
        <f>INDEX(Q4_Paeds,12,15)</f>
        <v>No data</v>
      </c>
      <c r="R16" s="234">
        <f t="shared" si="4"/>
        <v>0</v>
      </c>
      <c r="S16" s="235" t="str">
        <f>INDEX(Q4_Paeds,12,16)</f>
        <v>No data</v>
      </c>
      <c r="T16" s="234">
        <f t="shared" si="5"/>
        <v>0</v>
      </c>
      <c r="U16" s="237" t="str">
        <f>INDEX(Q4_Paeds,12,17)</f>
        <v>No data</v>
      </c>
      <c r="V16" s="234">
        <f t="shared" si="6"/>
        <v>0</v>
      </c>
      <c r="W16" s="235" t="str">
        <f>INDEX(Q4_Paeds,12,18)</f>
        <v>No data</v>
      </c>
      <c r="X16" s="234">
        <f t="shared" si="7"/>
        <v>0</v>
      </c>
      <c r="Y16" s="236" t="str">
        <f>INDEX(Q4_Paeds,12,19)</f>
        <v>No data</v>
      </c>
      <c r="Z16" s="248" t="str">
        <f>INDEX(Q4_Paeds,12,21)</f>
        <v>No data</v>
      </c>
      <c r="AA16" s="249" t="str">
        <f>INDEX(Q4_Paeds,12,22)</f>
        <v>No data</v>
      </c>
    </row>
    <row r="17" spans="2:27" s="13" customFormat="1" ht="21.75" customHeight="1" thickTop="1" thickBot="1" x14ac:dyDescent="0.4">
      <c r="B17" s="34" t="s">
        <v>82</v>
      </c>
      <c r="C17" s="34" t="s">
        <v>27</v>
      </c>
      <c r="D17" s="76">
        <v>3</v>
      </c>
      <c r="E17" s="34" t="s">
        <v>25</v>
      </c>
      <c r="F17" s="250" t="str">
        <f>INDEX(Q4_Paeds,13,7)</f>
        <v>No data</v>
      </c>
      <c r="G17" s="251" t="str">
        <f>INDEX(Q4_Paeds,13,8)</f>
        <v>No data</v>
      </c>
      <c r="H17" s="238" t="str">
        <f>INDEX(Q4_Paeds,13,9)</f>
        <v>No data</v>
      </c>
      <c r="I17" s="239">
        <f t="shared" si="0"/>
        <v>0</v>
      </c>
      <c r="J17" s="240" t="str">
        <f>INDEX(Q4_Paeds,13,10)</f>
        <v>No data</v>
      </c>
      <c r="K17" s="239">
        <f t="shared" si="1"/>
        <v>0</v>
      </c>
      <c r="L17" s="240" t="str">
        <f>INDEX(Q4_Paeds,13,11)</f>
        <v>No data</v>
      </c>
      <c r="M17" s="239">
        <f t="shared" si="2"/>
        <v>0</v>
      </c>
      <c r="N17" s="240" t="str">
        <f>INDEX(Q4_Paeds,13,12)</f>
        <v>No data</v>
      </c>
      <c r="O17" s="239">
        <f t="shared" si="3"/>
        <v>0</v>
      </c>
      <c r="P17" s="241" t="str">
        <f>INDEX(Q4_Paeds,13,13)</f>
        <v>No data</v>
      </c>
      <c r="Q17" s="242" t="str">
        <f>INDEX(Q4_Paeds,13,15)</f>
        <v>No data</v>
      </c>
      <c r="R17" s="239">
        <f t="shared" si="4"/>
        <v>0</v>
      </c>
      <c r="S17" s="240" t="str">
        <f>INDEX(Q4_Paeds,13,16)</f>
        <v>No data</v>
      </c>
      <c r="T17" s="239">
        <f t="shared" si="5"/>
        <v>0</v>
      </c>
      <c r="U17" s="243" t="str">
        <f>INDEX(Q4_Paeds,13,17)</f>
        <v>No data</v>
      </c>
      <c r="V17" s="239">
        <f t="shared" si="6"/>
        <v>0</v>
      </c>
      <c r="W17" s="240" t="str">
        <f>INDEX(Q4_Paeds,13,18)</f>
        <v>No data</v>
      </c>
      <c r="X17" s="239">
        <f t="shared" si="7"/>
        <v>0</v>
      </c>
      <c r="Y17" s="241" t="str">
        <f>INDEX(Q4_Paeds,13,19)</f>
        <v>No data</v>
      </c>
      <c r="Z17" s="252" t="str">
        <f>INDEX(Q4_Paeds,13,21)</f>
        <v>No data</v>
      </c>
      <c r="AA17" s="253" t="str">
        <f>INDEX(Q4_Paeds,13,22)</f>
        <v>No data</v>
      </c>
    </row>
    <row r="18" spans="2:27" s="13" customFormat="1" ht="21.75" customHeight="1" thickTop="1" thickBot="1" x14ac:dyDescent="0.4">
      <c r="B18" s="33" t="s">
        <v>83</v>
      </c>
      <c r="C18" s="33" t="s">
        <v>27</v>
      </c>
      <c r="D18" s="75">
        <v>3</v>
      </c>
      <c r="E18" s="33" t="s">
        <v>25</v>
      </c>
      <c r="F18" s="247" t="str">
        <f>INDEX(Q4_Paeds,14,7)</f>
        <v>No data</v>
      </c>
      <c r="G18" s="254" t="str">
        <f>INDEX(Q4_Paeds,14,8)</f>
        <v>No data</v>
      </c>
      <c r="H18" s="244" t="str">
        <f>INDEX(Q4_Paeds,14,9)</f>
        <v>No data</v>
      </c>
      <c r="I18" s="234">
        <f t="shared" si="0"/>
        <v>0</v>
      </c>
      <c r="J18" s="235" t="str">
        <f>INDEX(Q4_Paeds,14,10)</f>
        <v>No data</v>
      </c>
      <c r="K18" s="234">
        <f t="shared" si="1"/>
        <v>0</v>
      </c>
      <c r="L18" s="235" t="str">
        <f>INDEX(Q4_Paeds,14,11)</f>
        <v>No data</v>
      </c>
      <c r="M18" s="234">
        <f t="shared" si="2"/>
        <v>0</v>
      </c>
      <c r="N18" s="235" t="str">
        <f>INDEX(Q4_Paeds,14,12)</f>
        <v>No data</v>
      </c>
      <c r="O18" s="234">
        <f t="shared" si="3"/>
        <v>0</v>
      </c>
      <c r="P18" s="236" t="str">
        <f>INDEX(Q4_Paeds,14,13)</f>
        <v>No data</v>
      </c>
      <c r="Q18" s="233" t="str">
        <f>INDEX(Q4_Paeds,14,15)</f>
        <v>No data</v>
      </c>
      <c r="R18" s="234">
        <f t="shared" si="4"/>
        <v>0</v>
      </c>
      <c r="S18" s="235" t="str">
        <f>INDEX(Q4_Paeds,14,16)</f>
        <v>No data</v>
      </c>
      <c r="T18" s="234">
        <f t="shared" si="5"/>
        <v>0</v>
      </c>
      <c r="U18" s="237" t="str">
        <f>INDEX(Q4_Paeds,14,17)</f>
        <v>No data</v>
      </c>
      <c r="V18" s="234">
        <f t="shared" si="6"/>
        <v>0</v>
      </c>
      <c r="W18" s="235" t="str">
        <f>INDEX(Q4_Paeds,14,18)</f>
        <v>No data</v>
      </c>
      <c r="X18" s="234">
        <f t="shared" si="7"/>
        <v>0</v>
      </c>
      <c r="Y18" s="236" t="str">
        <f>INDEX(Q4_Paeds,14,19)</f>
        <v>No data</v>
      </c>
      <c r="Z18" s="248" t="str">
        <f>INDEX(Q4_Paeds,14,21)</f>
        <v>No data</v>
      </c>
      <c r="AA18" s="249" t="str">
        <f>INDEX(Q4_Paeds,14,22)</f>
        <v>No data</v>
      </c>
    </row>
    <row r="19" spans="2:27" s="13" customFormat="1" ht="21.75" customHeight="1" thickTop="1" thickBot="1" x14ac:dyDescent="0.4">
      <c r="B19" s="34" t="s">
        <v>84</v>
      </c>
      <c r="C19" s="34" t="s">
        <v>27</v>
      </c>
      <c r="D19" s="76">
        <v>3</v>
      </c>
      <c r="E19" s="34" t="s">
        <v>25</v>
      </c>
      <c r="F19" s="250" t="str">
        <f>INDEX(Q4_Paeds,16,7)</f>
        <v>No data</v>
      </c>
      <c r="G19" s="251" t="str">
        <f>INDEX(Q4_Paeds,16,8)</f>
        <v>No data</v>
      </c>
      <c r="H19" s="238" t="str">
        <f>INDEX(Q4_Paeds,16,9)</f>
        <v>No data</v>
      </c>
      <c r="I19" s="239">
        <f t="shared" si="0"/>
        <v>0</v>
      </c>
      <c r="J19" s="240" t="str">
        <f>INDEX(Q4_Paeds,16,10)</f>
        <v>No data</v>
      </c>
      <c r="K19" s="239">
        <f t="shared" si="1"/>
        <v>0</v>
      </c>
      <c r="L19" s="240" t="str">
        <f>INDEX(Q4_Paeds,16,11)</f>
        <v>No data</v>
      </c>
      <c r="M19" s="239">
        <f t="shared" si="2"/>
        <v>0</v>
      </c>
      <c r="N19" s="240" t="str">
        <f>INDEX(Q4_Paeds,16,12)</f>
        <v>No data</v>
      </c>
      <c r="O19" s="239">
        <f t="shared" si="3"/>
        <v>0</v>
      </c>
      <c r="P19" s="241" t="str">
        <f>INDEX(Q4_Paeds,16,13)</f>
        <v>No data</v>
      </c>
      <c r="Q19" s="242" t="str">
        <f>INDEX(Q4_Paeds,16,15)</f>
        <v>No data</v>
      </c>
      <c r="R19" s="239">
        <f t="shared" si="4"/>
        <v>0</v>
      </c>
      <c r="S19" s="240" t="str">
        <f>INDEX(Q4_Paeds,16,16)</f>
        <v>No data</v>
      </c>
      <c r="T19" s="239">
        <f t="shared" si="5"/>
        <v>0</v>
      </c>
      <c r="U19" s="243" t="str">
        <f>INDEX(Q4_Paeds,16,17)</f>
        <v>No data</v>
      </c>
      <c r="V19" s="239">
        <f t="shared" si="6"/>
        <v>0</v>
      </c>
      <c r="W19" s="240" t="str">
        <f>INDEX(Q4_Paeds,16,18)</f>
        <v>No data</v>
      </c>
      <c r="X19" s="239">
        <f t="shared" si="7"/>
        <v>0</v>
      </c>
      <c r="Y19" s="241" t="str">
        <f>INDEX(Q4_Paeds,16,19)</f>
        <v>No data</v>
      </c>
      <c r="Z19" s="252" t="str">
        <f>INDEX(Q4_Paeds,16,21)</f>
        <v>No data</v>
      </c>
      <c r="AA19" s="253" t="str">
        <f>INDEX(Q4_Paeds,16,22)</f>
        <v>No data</v>
      </c>
    </row>
    <row r="20" spans="2:27" s="13" customFormat="1" ht="21.75" customHeight="1" thickTop="1" thickBot="1" x14ac:dyDescent="0.4">
      <c r="B20" s="33" t="s">
        <v>74</v>
      </c>
      <c r="C20" s="33" t="s">
        <v>27</v>
      </c>
      <c r="D20" s="75">
        <v>3</v>
      </c>
      <c r="E20" s="33" t="s">
        <v>25</v>
      </c>
      <c r="F20" s="247" t="str">
        <f>INDEX(Q4_Paeds,17,7)</f>
        <v>No data</v>
      </c>
      <c r="G20" s="254" t="str">
        <f>INDEX(Q4_Paeds,17,8)</f>
        <v>No data</v>
      </c>
      <c r="H20" s="244" t="str">
        <f>INDEX(Q4_Paeds,17,9)</f>
        <v>No data</v>
      </c>
      <c r="I20" s="234">
        <f t="shared" si="0"/>
        <v>0</v>
      </c>
      <c r="J20" s="235" t="str">
        <f>INDEX(Q4_Paeds,17,10)</f>
        <v>No data</v>
      </c>
      <c r="K20" s="234">
        <f t="shared" si="1"/>
        <v>0</v>
      </c>
      <c r="L20" s="235" t="str">
        <f>INDEX(Q4_Paeds,17,11)</f>
        <v>No data</v>
      </c>
      <c r="M20" s="234">
        <f t="shared" si="2"/>
        <v>0</v>
      </c>
      <c r="N20" s="235" t="str">
        <f>INDEX(Q4_Paeds,17,12)</f>
        <v>No data</v>
      </c>
      <c r="O20" s="234">
        <f t="shared" si="3"/>
        <v>0</v>
      </c>
      <c r="P20" s="236" t="str">
        <f>INDEX(Q4_Paeds,17,13)</f>
        <v>No data</v>
      </c>
      <c r="Q20" s="233" t="str">
        <f>INDEX(Q4_Paeds,17,15)</f>
        <v>No data</v>
      </c>
      <c r="R20" s="234">
        <f t="shared" si="4"/>
        <v>0</v>
      </c>
      <c r="S20" s="235" t="str">
        <f>INDEX(Q4_Paeds,17,16)</f>
        <v>No data</v>
      </c>
      <c r="T20" s="234">
        <f t="shared" si="5"/>
        <v>0</v>
      </c>
      <c r="U20" s="237" t="str">
        <f>INDEX(Q4_Paeds,17,17)</f>
        <v>No data</v>
      </c>
      <c r="V20" s="234">
        <f t="shared" si="6"/>
        <v>0</v>
      </c>
      <c r="W20" s="235" t="str">
        <f>INDEX(Q4_Paeds,17,18)</f>
        <v>No data</v>
      </c>
      <c r="X20" s="234">
        <f t="shared" si="7"/>
        <v>0</v>
      </c>
      <c r="Y20" s="236" t="str">
        <f>INDEX(Q4_Paeds,17,19)</f>
        <v>No data</v>
      </c>
      <c r="Z20" s="248" t="str">
        <f>INDEX(Q4_Paeds,17,21)</f>
        <v>No data</v>
      </c>
      <c r="AA20" s="249" t="str">
        <f>INDEX(Q4_Paeds,17,22)</f>
        <v>No data</v>
      </c>
    </row>
    <row r="21" spans="2:27" s="13" customFormat="1" ht="21.75" customHeight="1" thickTop="1" thickBot="1" x14ac:dyDescent="0.4">
      <c r="B21" s="34" t="s">
        <v>86</v>
      </c>
      <c r="C21" s="34" t="s">
        <v>27</v>
      </c>
      <c r="D21" s="76">
        <v>3</v>
      </c>
      <c r="E21" s="34" t="s">
        <v>25</v>
      </c>
      <c r="F21" s="250" t="str">
        <f>INDEX(Q4_Paeds,18,7)</f>
        <v>No data</v>
      </c>
      <c r="G21" s="251" t="str">
        <f>INDEX(Q4_Paeds,18,8)</f>
        <v>No data</v>
      </c>
      <c r="H21" s="238" t="str">
        <f>INDEX(Q4_Paeds,18,9)</f>
        <v>No data</v>
      </c>
      <c r="I21" s="239">
        <f t="shared" si="0"/>
        <v>0</v>
      </c>
      <c r="J21" s="240" t="str">
        <f>INDEX(Q4_Paeds,18,10)</f>
        <v>No data</v>
      </c>
      <c r="K21" s="239">
        <f t="shared" si="1"/>
        <v>0</v>
      </c>
      <c r="L21" s="240" t="str">
        <f>INDEX(Q4_Paeds,18,11)</f>
        <v>No data</v>
      </c>
      <c r="M21" s="239">
        <f t="shared" si="2"/>
        <v>0</v>
      </c>
      <c r="N21" s="240" t="str">
        <f>INDEX(Q4_Paeds,18,12)</f>
        <v>No data</v>
      </c>
      <c r="O21" s="239">
        <f t="shared" si="3"/>
        <v>0</v>
      </c>
      <c r="P21" s="241" t="str">
        <f>INDEX(Q4_Paeds,18,13)</f>
        <v>No data</v>
      </c>
      <c r="Q21" s="242" t="str">
        <f>INDEX(Q4_Paeds,18,15)</f>
        <v>No data</v>
      </c>
      <c r="R21" s="239">
        <f t="shared" si="4"/>
        <v>0</v>
      </c>
      <c r="S21" s="240" t="str">
        <f>INDEX(Q4_Paeds,18,16)</f>
        <v>No data</v>
      </c>
      <c r="T21" s="239">
        <f t="shared" si="5"/>
        <v>0</v>
      </c>
      <c r="U21" s="243" t="str">
        <f>INDEX(Q4_Paeds,18,17)</f>
        <v>No data</v>
      </c>
      <c r="V21" s="239">
        <f t="shared" si="6"/>
        <v>0</v>
      </c>
      <c r="W21" s="240" t="str">
        <f>INDEX(Q4_Paeds,18,18)</f>
        <v>No data</v>
      </c>
      <c r="X21" s="239">
        <f t="shared" si="7"/>
        <v>0</v>
      </c>
      <c r="Y21" s="241" t="str">
        <f>INDEX(Q4_Paeds,18,19)</f>
        <v>No data</v>
      </c>
      <c r="Z21" s="252" t="str">
        <f>INDEX(Q4_Paeds,18,21)</f>
        <v>No data</v>
      </c>
      <c r="AA21" s="253" t="str">
        <f>INDEX(Q4_Paeds,18,22)</f>
        <v>No data</v>
      </c>
    </row>
    <row r="22" spans="2:27" s="13" customFormat="1" ht="21.75" customHeight="1" thickTop="1" thickBot="1" x14ac:dyDescent="0.4">
      <c r="B22" s="36" t="s">
        <v>60</v>
      </c>
      <c r="C22" s="36" t="s">
        <v>27</v>
      </c>
      <c r="D22" s="78">
        <v>3</v>
      </c>
      <c r="E22" s="36" t="s">
        <v>25</v>
      </c>
      <c r="F22" s="247" t="str">
        <f>INDEX(Q4_Paeds,19,7)</f>
        <v>No data</v>
      </c>
      <c r="G22" s="254" t="str">
        <f>INDEX(Q4_Paeds,19,8)</f>
        <v>No data</v>
      </c>
      <c r="H22" s="244" t="str">
        <f>INDEX(Q4_Paeds,19,9)</f>
        <v>No data</v>
      </c>
      <c r="I22" s="234">
        <f t="shared" si="0"/>
        <v>0</v>
      </c>
      <c r="J22" s="235" t="str">
        <f>INDEX(Q4_Paeds,19,10)</f>
        <v>No data</v>
      </c>
      <c r="K22" s="234">
        <f t="shared" si="1"/>
        <v>0</v>
      </c>
      <c r="L22" s="235" t="str">
        <f>INDEX(Q4_Paeds,19,11)</f>
        <v>No data</v>
      </c>
      <c r="M22" s="234">
        <f t="shared" si="2"/>
        <v>0</v>
      </c>
      <c r="N22" s="235" t="str">
        <f>INDEX(Q4_Paeds,19,12)</f>
        <v>No data</v>
      </c>
      <c r="O22" s="234">
        <f t="shared" si="3"/>
        <v>0</v>
      </c>
      <c r="P22" s="236" t="str">
        <f>INDEX(Q4_Paeds,19,13)</f>
        <v>No data</v>
      </c>
      <c r="Q22" s="233" t="str">
        <f>INDEX(Q4_Paeds,19,15)</f>
        <v>No data</v>
      </c>
      <c r="R22" s="234">
        <f t="shared" si="4"/>
        <v>0</v>
      </c>
      <c r="S22" s="235" t="str">
        <f>INDEX(Q4_Paeds,19,16)</f>
        <v>No data</v>
      </c>
      <c r="T22" s="245">
        <f t="shared" si="5"/>
        <v>0</v>
      </c>
      <c r="U22" s="237" t="str">
        <f>INDEX(Q4_Paeds,19,17)</f>
        <v>No data</v>
      </c>
      <c r="V22" s="234">
        <f t="shared" si="6"/>
        <v>0</v>
      </c>
      <c r="W22" s="235" t="str">
        <f>INDEX(Q4_Paeds,19,18)</f>
        <v>No data</v>
      </c>
      <c r="X22" s="234">
        <f t="shared" si="7"/>
        <v>0</v>
      </c>
      <c r="Y22" s="236" t="str">
        <f>INDEX(Q4_Paeds,19,19)</f>
        <v>No data</v>
      </c>
      <c r="Z22" s="248" t="str">
        <f>INDEX(Q4_Paeds,19,21)</f>
        <v>No data</v>
      </c>
      <c r="AA22" s="249" t="str">
        <f>INDEX(Q4_Paeds,19,22)</f>
        <v>No data</v>
      </c>
    </row>
    <row r="23" spans="2:27" s="13" customFormat="1" ht="21.75" customHeight="1" thickTop="1" thickBot="1" x14ac:dyDescent="0.4">
      <c r="B23" s="37" t="s">
        <v>75</v>
      </c>
      <c r="C23" s="37" t="s">
        <v>27</v>
      </c>
      <c r="D23" s="79">
        <v>3</v>
      </c>
      <c r="E23" s="37" t="s">
        <v>25</v>
      </c>
      <c r="F23" s="250" t="str">
        <f>INDEX(Q4_Paeds,20,7)</f>
        <v>No data</v>
      </c>
      <c r="G23" s="251" t="str">
        <f>INDEX(Q4_Paeds,20,8)</f>
        <v>No data</v>
      </c>
      <c r="H23" s="242" t="str">
        <f>INDEX(Q4_Paeds,20,9)</f>
        <v>No data</v>
      </c>
      <c r="I23" s="239">
        <f t="shared" si="0"/>
        <v>0</v>
      </c>
      <c r="J23" s="240" t="str">
        <f>INDEX(Q4_Paeds,20,10)</f>
        <v>No data</v>
      </c>
      <c r="K23" s="239">
        <f t="shared" si="1"/>
        <v>0</v>
      </c>
      <c r="L23" s="240" t="str">
        <f>INDEX(Q4_Paeds,20,11)</f>
        <v>No data</v>
      </c>
      <c r="M23" s="239">
        <f t="shared" si="2"/>
        <v>0</v>
      </c>
      <c r="N23" s="240" t="str">
        <f>INDEX(Q4_Paeds,20,12)</f>
        <v>No data</v>
      </c>
      <c r="O23" s="239">
        <f t="shared" si="3"/>
        <v>0</v>
      </c>
      <c r="P23" s="241" t="str">
        <f>INDEX(Q4_Paeds,20,13)</f>
        <v>No data</v>
      </c>
      <c r="Q23" s="242" t="str">
        <f>INDEX(Q4_Paeds,20,15)</f>
        <v>No data</v>
      </c>
      <c r="R23" s="239">
        <f t="shared" si="4"/>
        <v>0</v>
      </c>
      <c r="S23" s="240" t="str">
        <f>INDEX(Q4_Paeds,20,16)</f>
        <v>No data</v>
      </c>
      <c r="T23" s="239">
        <f t="shared" si="5"/>
        <v>0</v>
      </c>
      <c r="U23" s="246" t="str">
        <f>INDEX(Q4_Paeds,20,17)</f>
        <v>No data</v>
      </c>
      <c r="V23" s="239">
        <f t="shared" si="6"/>
        <v>0</v>
      </c>
      <c r="W23" s="240" t="str">
        <f>INDEX(Q4_Paeds,20,18)</f>
        <v>No data</v>
      </c>
      <c r="X23" s="239">
        <f t="shared" si="7"/>
        <v>0</v>
      </c>
      <c r="Y23" s="241" t="str">
        <f>INDEX(Q4_Paeds,20,19)</f>
        <v>No data</v>
      </c>
      <c r="Z23" s="252" t="str">
        <f>INDEX(Q4_Paeds,20,21)</f>
        <v>No data</v>
      </c>
      <c r="AA23" s="253" t="str">
        <f>INDEX(Q4_Paeds,20,22)</f>
        <v>No data</v>
      </c>
    </row>
    <row r="24" spans="2:27" s="13" customFormat="1" ht="21.75" customHeight="1" thickTop="1" thickBot="1" x14ac:dyDescent="0.4">
      <c r="B24" s="38" t="s">
        <v>70</v>
      </c>
      <c r="C24" s="38" t="s">
        <v>27</v>
      </c>
      <c r="D24" s="80">
        <v>3</v>
      </c>
      <c r="E24" s="38" t="s">
        <v>25</v>
      </c>
      <c r="F24" s="247" t="str">
        <f>INDEX(Q4_Paeds,21,7)</f>
        <v>No data</v>
      </c>
      <c r="G24" s="254" t="str">
        <f>INDEX(Q4_Paeds,21,8)</f>
        <v>No data</v>
      </c>
      <c r="H24" s="233" t="str">
        <f>INDEX(Q4_Paeds,21,9)</f>
        <v>No data</v>
      </c>
      <c r="I24" s="234">
        <f t="shared" si="0"/>
        <v>0</v>
      </c>
      <c r="J24" s="235" t="str">
        <f>INDEX(Q4_Paeds,21,10)</f>
        <v>No data</v>
      </c>
      <c r="K24" s="234">
        <f t="shared" si="1"/>
        <v>0</v>
      </c>
      <c r="L24" s="235" t="str">
        <f>INDEX(Q4_Paeds,21,11)</f>
        <v>No data</v>
      </c>
      <c r="M24" s="234">
        <f t="shared" si="2"/>
        <v>0</v>
      </c>
      <c r="N24" s="235" t="str">
        <f>INDEX(Q4_Paeds,21,12)</f>
        <v>No data</v>
      </c>
      <c r="O24" s="234">
        <f t="shared" si="3"/>
        <v>0</v>
      </c>
      <c r="P24" s="236" t="str">
        <f>INDEX(Q4_Paeds,21,13)</f>
        <v>No data</v>
      </c>
      <c r="Q24" s="233" t="str">
        <f>INDEX(Q4_Paeds,21,15)</f>
        <v>No data</v>
      </c>
      <c r="R24" s="234">
        <f t="shared" si="4"/>
        <v>0</v>
      </c>
      <c r="S24" s="235" t="str">
        <f>INDEX(Q4_Paeds,21,16)</f>
        <v>No data</v>
      </c>
      <c r="T24" s="234">
        <f t="shared" si="5"/>
        <v>0</v>
      </c>
      <c r="U24" s="237" t="str">
        <f>INDEX(Q4_Paeds,21,17)</f>
        <v>No data</v>
      </c>
      <c r="V24" s="234">
        <f t="shared" si="6"/>
        <v>0</v>
      </c>
      <c r="W24" s="235" t="str">
        <f>INDEX(Q4_Paeds,21,18)</f>
        <v>No data</v>
      </c>
      <c r="X24" s="234">
        <f t="shared" si="7"/>
        <v>0</v>
      </c>
      <c r="Y24" s="236" t="str">
        <f>INDEX(Q4_Paeds,21,19)</f>
        <v>No data</v>
      </c>
      <c r="Z24" s="248" t="str">
        <f>INDEX(Q4_Paeds,21,21)</f>
        <v>No data</v>
      </c>
      <c r="AA24" s="249" t="str">
        <f>INDEX(Q4_Paeds,21,22)</f>
        <v>No data</v>
      </c>
    </row>
    <row r="25" spans="2:27" s="13" customFormat="1" ht="21.75" customHeight="1" thickTop="1" thickBot="1" x14ac:dyDescent="0.4">
      <c r="B25" s="35" t="s">
        <v>87</v>
      </c>
      <c r="C25" s="35" t="s">
        <v>27</v>
      </c>
      <c r="D25" s="77">
        <v>3</v>
      </c>
      <c r="E25" s="35" t="s">
        <v>25</v>
      </c>
      <c r="F25" s="250" t="str">
        <f>INDEX(Q4_Paeds,22,7)</f>
        <v>No data</v>
      </c>
      <c r="G25" s="251" t="str">
        <f>INDEX(Q4_Paeds,22,8)</f>
        <v>No data</v>
      </c>
      <c r="H25" s="242" t="str">
        <f>INDEX(Q4_Paeds,22,9)</f>
        <v>No data</v>
      </c>
      <c r="I25" s="239">
        <f t="shared" si="0"/>
        <v>0</v>
      </c>
      <c r="J25" s="240" t="str">
        <f>INDEX(Q4_Paeds,22,10)</f>
        <v>No data</v>
      </c>
      <c r="K25" s="239">
        <f t="shared" si="1"/>
        <v>0</v>
      </c>
      <c r="L25" s="240" t="str">
        <f>INDEX(Q4_Paeds,22,11)</f>
        <v>No data</v>
      </c>
      <c r="M25" s="239">
        <f t="shared" si="2"/>
        <v>0</v>
      </c>
      <c r="N25" s="240" t="str">
        <f>INDEX(Q4_Paeds,22,12)</f>
        <v>No data</v>
      </c>
      <c r="O25" s="239">
        <f t="shared" si="3"/>
        <v>0</v>
      </c>
      <c r="P25" s="241" t="str">
        <f>INDEX(Q4_Paeds,22,13)</f>
        <v>No data</v>
      </c>
      <c r="Q25" s="242" t="str">
        <f>INDEX(Q4_Paeds,22,15)</f>
        <v>No data</v>
      </c>
      <c r="R25" s="239">
        <f t="shared" si="4"/>
        <v>0</v>
      </c>
      <c r="S25" s="240" t="str">
        <f>INDEX(Q4_Paeds,22,16)</f>
        <v>No data</v>
      </c>
      <c r="T25" s="239">
        <f t="shared" si="5"/>
        <v>0</v>
      </c>
      <c r="U25" s="246" t="str">
        <f>INDEX(Q4_Paeds,22,17)</f>
        <v>No data</v>
      </c>
      <c r="V25" s="239">
        <f t="shared" si="6"/>
        <v>0</v>
      </c>
      <c r="W25" s="240" t="str">
        <f>INDEX(Q4_Paeds,22,18)</f>
        <v>No data</v>
      </c>
      <c r="X25" s="239">
        <f t="shared" si="7"/>
        <v>0</v>
      </c>
      <c r="Y25" s="241" t="str">
        <f>INDEX(Q4_Paeds,22,19)</f>
        <v>No data</v>
      </c>
      <c r="Z25" s="252" t="str">
        <f>INDEX(Q4_Paeds,22,21)</f>
        <v>No data</v>
      </c>
      <c r="AA25" s="253" t="str">
        <f>INDEX(Q4_Paeds,22,22)</f>
        <v>No data</v>
      </c>
    </row>
    <row r="26" spans="2:27" ht="15" thickTop="1" x14ac:dyDescent="0.35">
      <c r="B26" s="21"/>
      <c r="C26" s="21"/>
      <c r="D26" s="21"/>
      <c r="E26" s="21"/>
      <c r="F26" s="20"/>
      <c r="G26" s="20"/>
      <c r="H26" s="144"/>
      <c r="I26" s="20"/>
      <c r="J26" s="144"/>
      <c r="K26" s="20"/>
      <c r="L26" s="144"/>
      <c r="M26" s="20"/>
      <c r="N26" s="144"/>
      <c r="O26" s="20"/>
      <c r="P26" s="20"/>
      <c r="Q26" s="144"/>
      <c r="R26" s="20"/>
      <c r="S26" s="144"/>
      <c r="T26" s="20"/>
      <c r="U26" s="144"/>
      <c r="V26" s="20"/>
      <c r="W26" s="144"/>
      <c r="X26" s="20"/>
      <c r="Y26" s="20"/>
      <c r="Z26" s="20"/>
      <c r="AA26" s="20"/>
    </row>
    <row r="27" spans="2:27" ht="15" thickBot="1" x14ac:dyDescent="0.4">
      <c r="B27" s="21"/>
      <c r="C27" s="21"/>
      <c r="D27" s="21"/>
      <c r="E27" s="21"/>
      <c r="F27" s="20"/>
      <c r="G27" s="20"/>
      <c r="H27" s="144"/>
      <c r="I27" s="20"/>
      <c r="J27" s="144"/>
      <c r="K27" s="20"/>
      <c r="L27" s="144"/>
      <c r="M27" s="20"/>
      <c r="N27" s="144"/>
      <c r="O27" s="20"/>
      <c r="P27" s="20"/>
      <c r="Q27" s="144"/>
      <c r="R27" s="20"/>
      <c r="S27" s="144"/>
      <c r="T27" s="20"/>
      <c r="U27" s="144"/>
      <c r="V27" s="20"/>
      <c r="W27" s="144"/>
      <c r="X27" s="20"/>
      <c r="Y27" s="20"/>
      <c r="Z27" s="20"/>
      <c r="AA27" s="20"/>
    </row>
    <row r="28" spans="2:27" ht="14.5" x14ac:dyDescent="0.35">
      <c r="B28" s="344" t="s">
        <v>112</v>
      </c>
      <c r="C28" s="345" t="s">
        <v>113</v>
      </c>
      <c r="D28" s="346"/>
      <c r="E28" s="347"/>
      <c r="F28" s="354" t="s">
        <v>104</v>
      </c>
      <c r="G28" s="355"/>
      <c r="H28" s="356"/>
      <c r="I28" s="357"/>
      <c r="J28" s="360" t="s">
        <v>110</v>
      </c>
      <c r="K28" s="361"/>
      <c r="L28" s="364" t="s">
        <v>110</v>
      </c>
      <c r="M28" s="365"/>
      <c r="N28" s="368" t="s">
        <v>110</v>
      </c>
      <c r="O28" s="369"/>
      <c r="P28" s="267"/>
      <c r="Q28" s="356"/>
      <c r="R28" s="357"/>
      <c r="S28" s="360" t="s">
        <v>110</v>
      </c>
      <c r="T28" s="361"/>
      <c r="U28" s="364" t="s">
        <v>110</v>
      </c>
      <c r="V28" s="365"/>
      <c r="W28" s="368" t="s">
        <v>110</v>
      </c>
      <c r="X28" s="369"/>
      <c r="Y28" s="153"/>
      <c r="Z28" s="380" t="s">
        <v>107</v>
      </c>
      <c r="AA28" s="355"/>
    </row>
    <row r="29" spans="2:27" ht="14.5" x14ac:dyDescent="0.35">
      <c r="B29" s="344"/>
      <c r="C29" s="348"/>
      <c r="D29" s="349"/>
      <c r="E29" s="350"/>
      <c r="F29" s="381" t="s">
        <v>105</v>
      </c>
      <c r="G29" s="382"/>
      <c r="H29" s="358"/>
      <c r="I29" s="359"/>
      <c r="J29" s="362"/>
      <c r="K29" s="363"/>
      <c r="L29" s="366"/>
      <c r="M29" s="367"/>
      <c r="N29" s="370"/>
      <c r="O29" s="371"/>
      <c r="P29" s="268"/>
      <c r="Q29" s="358"/>
      <c r="R29" s="359"/>
      <c r="S29" s="362"/>
      <c r="T29" s="363"/>
      <c r="U29" s="366"/>
      <c r="V29" s="367"/>
      <c r="W29" s="370"/>
      <c r="X29" s="371"/>
      <c r="Y29" s="154"/>
      <c r="Z29" s="383" t="s">
        <v>108</v>
      </c>
      <c r="AA29" s="382"/>
    </row>
    <row r="30" spans="2:27" ht="15" thickBot="1" x14ac:dyDescent="0.4">
      <c r="B30" s="344"/>
      <c r="C30" s="351"/>
      <c r="D30" s="352"/>
      <c r="E30" s="353"/>
      <c r="F30" s="376" t="s">
        <v>106</v>
      </c>
      <c r="G30" s="377"/>
      <c r="H30" s="378"/>
      <c r="I30" s="379"/>
      <c r="J30" s="384" t="s">
        <v>111</v>
      </c>
      <c r="K30" s="379"/>
      <c r="L30" s="384" t="s">
        <v>111</v>
      </c>
      <c r="M30" s="379"/>
      <c r="N30" s="384" t="s">
        <v>111</v>
      </c>
      <c r="O30" s="379"/>
      <c r="P30" s="265"/>
      <c r="Q30" s="378"/>
      <c r="R30" s="379"/>
      <c r="S30" s="384" t="s">
        <v>111</v>
      </c>
      <c r="T30" s="379"/>
      <c r="U30" s="384" t="s">
        <v>111</v>
      </c>
      <c r="V30" s="379"/>
      <c r="W30" s="384" t="s">
        <v>111</v>
      </c>
      <c r="X30" s="379"/>
      <c r="Y30" s="140"/>
      <c r="Z30" s="385" t="s">
        <v>109</v>
      </c>
      <c r="AA30" s="377"/>
    </row>
    <row r="31" spans="2:27" ht="14.5" x14ac:dyDescent="0.35">
      <c r="B31" s="22"/>
      <c r="C31" s="22"/>
      <c r="D31" s="22"/>
      <c r="E31" s="22"/>
      <c r="F31" s="23"/>
      <c r="G31" s="23"/>
      <c r="H31" s="145"/>
      <c r="I31" s="23"/>
      <c r="J31" s="145"/>
      <c r="K31" s="23"/>
      <c r="L31" s="145"/>
      <c r="M31" s="23"/>
      <c r="N31" s="145"/>
      <c r="O31" s="23"/>
      <c r="P31" s="23"/>
      <c r="Q31" s="145"/>
      <c r="R31" s="23"/>
      <c r="S31" s="145"/>
      <c r="T31" s="23"/>
      <c r="U31" s="145"/>
      <c r="V31" s="23"/>
      <c r="W31" s="145"/>
      <c r="X31" s="23"/>
      <c r="Y31" s="23"/>
      <c r="Z31" s="23"/>
      <c r="AA31" s="24"/>
    </row>
    <row r="32" spans="2:27" ht="14.5" x14ac:dyDescent="0.35">
      <c r="B32" s="20"/>
      <c r="C32" s="20"/>
      <c r="D32" s="20"/>
      <c r="E32" s="20"/>
      <c r="F32" s="25">
        <v>10</v>
      </c>
      <c r="G32" s="25">
        <v>10</v>
      </c>
      <c r="H32" s="146">
        <v>10</v>
      </c>
      <c r="I32" s="25"/>
      <c r="J32" s="146">
        <v>10</v>
      </c>
      <c r="K32" s="25">
        <v>10</v>
      </c>
      <c r="L32" s="146">
        <v>10</v>
      </c>
      <c r="M32" s="25"/>
      <c r="N32" s="146"/>
      <c r="O32" s="25"/>
      <c r="P32" s="25"/>
      <c r="Q32" s="146"/>
      <c r="R32" s="25"/>
      <c r="S32" s="146"/>
      <c r="T32" s="25"/>
      <c r="U32" s="146"/>
      <c r="V32" s="25"/>
      <c r="W32" s="146"/>
      <c r="X32" s="25"/>
      <c r="Y32" s="25"/>
      <c r="Z32" s="25"/>
      <c r="AA32" s="20"/>
    </row>
    <row r="33" spans="2:27" ht="14.5" x14ac:dyDescent="0.35">
      <c r="B33" s="21" t="s">
        <v>19</v>
      </c>
      <c r="C33" s="21"/>
      <c r="D33" s="21"/>
      <c r="E33" s="21"/>
      <c r="F33" s="26"/>
      <c r="G33" s="20"/>
      <c r="H33" s="144"/>
      <c r="I33" s="20"/>
      <c r="J33" s="144"/>
      <c r="K33" s="20"/>
      <c r="L33" s="144"/>
      <c r="M33" s="20"/>
      <c r="N33" s="144"/>
      <c r="O33" s="20"/>
      <c r="P33" s="20"/>
      <c r="Q33" s="144"/>
      <c r="R33" s="20"/>
      <c r="S33" s="144"/>
      <c r="T33" s="20"/>
      <c r="U33" s="144"/>
      <c r="V33" s="20"/>
      <c r="W33" s="144"/>
      <c r="X33" s="20"/>
      <c r="Y33" s="20"/>
      <c r="Z33" s="20"/>
      <c r="AA33" s="20"/>
    </row>
    <row r="34" spans="2:27" ht="14.5" x14ac:dyDescent="0.35">
      <c r="B34" s="27" t="s">
        <v>20</v>
      </c>
      <c r="C34" s="27"/>
      <c r="D34" s="27"/>
      <c r="E34" s="27"/>
      <c r="F34" s="20"/>
      <c r="G34" s="20"/>
      <c r="H34" s="144"/>
      <c r="I34" s="20"/>
      <c r="J34" s="144"/>
      <c r="K34" s="20"/>
      <c r="L34" s="144"/>
      <c r="M34" s="20"/>
      <c r="N34" s="144"/>
      <c r="O34" s="20"/>
      <c r="P34" s="20"/>
      <c r="Q34" s="144"/>
      <c r="R34" s="20"/>
      <c r="S34" s="144"/>
      <c r="T34" s="20"/>
      <c r="U34" s="144"/>
      <c r="V34" s="20"/>
      <c r="W34" s="144"/>
      <c r="X34" s="20"/>
      <c r="Y34" s="20"/>
      <c r="Z34" s="20"/>
      <c r="AA34" s="20"/>
    </row>
    <row r="35" spans="2:27" ht="14.5" x14ac:dyDescent="0.35">
      <c r="B35" s="28"/>
      <c r="C35" s="28"/>
      <c r="D35" s="28"/>
      <c r="E35" s="28"/>
      <c r="F35" s="20"/>
      <c r="G35" s="20"/>
      <c r="H35" s="144"/>
      <c r="I35" s="20"/>
      <c r="J35" s="144"/>
      <c r="K35" s="20"/>
      <c r="L35" s="144"/>
      <c r="M35" s="20"/>
      <c r="N35" s="144"/>
      <c r="O35" s="20"/>
      <c r="P35" s="20"/>
      <c r="Q35" s="144"/>
      <c r="R35" s="20"/>
      <c r="S35" s="144"/>
      <c r="T35" s="20"/>
      <c r="U35" s="144"/>
      <c r="V35" s="20"/>
      <c r="W35" s="144"/>
      <c r="X35" s="20"/>
      <c r="Y35" s="20"/>
      <c r="Z35" s="20"/>
      <c r="AA35" s="20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20" priority="9" operator="containsText" text="N/A">
      <formula>NOT(ISERROR(SEARCH("N/A",F8)))</formula>
    </cfRule>
    <cfRule type="cellIs" dxfId="19" priority="16" operator="between">
      <formula>0.01</formula>
      <formula>13</formula>
    </cfRule>
    <cfRule type="cellIs" dxfId="18" priority="17" operator="between">
      <formula>13</formula>
      <formula>18</formula>
    </cfRule>
    <cfRule type="cellIs" dxfId="17" priority="18" operator="greaterThan">
      <formula>18</formula>
    </cfRule>
    <cfRule type="cellIs" dxfId="16" priority="19" operator="greaterThan">
      <formula>18</formula>
    </cfRule>
  </conditionalFormatting>
  <conditionalFormatting sqref="K8:K25 T8:T25">
    <cfRule type="cellIs" dxfId="15" priority="15" operator="greaterThan">
      <formula>0.49</formula>
    </cfRule>
  </conditionalFormatting>
  <conditionalFormatting sqref="V8:V25 M8:M25">
    <cfRule type="cellIs" dxfId="14" priority="14" operator="greaterThan">
      <formula>0.49</formula>
    </cfRule>
  </conditionalFormatting>
  <conditionalFormatting sqref="O8:O25 X8:X25">
    <cfRule type="cellIs" dxfId="13" priority="13" operator="greaterThan">
      <formula>0.49</formula>
    </cfRule>
  </conditionalFormatting>
  <conditionalFormatting sqref="Z8:AA25">
    <cfRule type="cellIs" dxfId="12" priority="10" operator="between">
      <formula>0.0001</formula>
      <formula>0.1</formula>
    </cfRule>
    <cfRule type="cellIs" dxfId="11" priority="11" operator="between">
      <formula>0.1</formula>
      <formula>0.19</formula>
    </cfRule>
    <cfRule type="cellIs" dxfId="10" priority="12" operator="greaterThan">
      <formula>0.2</formula>
    </cfRule>
  </conditionalFormatting>
  <conditionalFormatting sqref="J8:J25">
    <cfRule type="expression" dxfId="9" priority="8">
      <formula>($J8/$P8*100)&gt;49.49</formula>
    </cfRule>
  </conditionalFormatting>
  <conditionalFormatting sqref="L8:L25">
    <cfRule type="expression" dxfId="8" priority="7">
      <formula>($L8/$P8*100)&gt;49.49</formula>
    </cfRule>
  </conditionalFormatting>
  <conditionalFormatting sqref="N8:N25">
    <cfRule type="expression" dxfId="7" priority="6">
      <formula>($N8/$P8*100)&gt;49.49</formula>
    </cfRule>
  </conditionalFormatting>
  <conditionalFormatting sqref="S8:S25">
    <cfRule type="expression" dxfId="6" priority="5">
      <formula>($S8/$Y8*100)&gt;49.49</formula>
    </cfRule>
  </conditionalFormatting>
  <conditionalFormatting sqref="U8:U25">
    <cfRule type="expression" dxfId="5" priority="4">
      <formula>($U8/$Y8*100)&gt;49.49</formula>
    </cfRule>
  </conditionalFormatting>
  <conditionalFormatting sqref="W8:W25">
    <cfRule type="expression" dxfId="4" priority="3">
      <formula>($W8/$Y8*100)&gt;49.49</formula>
    </cfRule>
  </conditionalFormatting>
  <conditionalFormatting sqref="L9">
    <cfRule type="expression" dxfId="3" priority="2">
      <formula>"$M$9=&gt;.499"</formula>
    </cfRule>
  </conditionalFormatting>
  <conditionalFormatting sqref="F8:AA25">
    <cfRule type="expression" dxfId="2" priority="1">
      <formula>$F8="No data"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5" customHeight="1" zeroHeight="1" x14ac:dyDescent="0.35"/>
  <cols>
    <col min="1" max="29" width="9.1796875" style="39" customWidth="1"/>
    <col min="30" max="16384" width="9.1796875" style="39" hidden="1"/>
  </cols>
  <sheetData>
    <row r="1" spans="1:29" s="15" customFormat="1" ht="35.25" customHeight="1" x14ac:dyDescent="0.35">
      <c r="A1" s="386" t="s">
        <v>122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7" t="s">
        <v>121</v>
      </c>
      <c r="Z1" s="387"/>
      <c r="AA1" s="387"/>
    </row>
    <row r="2" spans="1:29" s="96" customFormat="1" ht="30" customHeight="1" x14ac:dyDescent="0.35">
      <c r="A2" s="388" t="s">
        <v>223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</row>
    <row r="3" spans="1:29" s="97" customFormat="1" ht="25.5" customHeight="1" x14ac:dyDescent="0.35">
      <c r="B3" s="98" t="s">
        <v>132</v>
      </c>
    </row>
    <row r="4" spans="1:29" s="17" customFormat="1" x14ac:dyDescent="0.35"/>
    <row r="5" spans="1:29" s="17" customFormat="1" x14ac:dyDescent="0.35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</row>
    <row r="6" spans="1:29" s="17" customFormat="1" x14ac:dyDescent="0.35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</row>
    <row r="7" spans="1:29" s="17" customFormat="1" x14ac:dyDescent="0.35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9" s="17" customFormat="1" x14ac:dyDescent="0.3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</row>
    <row r="9" spans="1:29" s="17" customFormat="1" x14ac:dyDescent="0.35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</row>
    <row r="10" spans="1:29" s="17" customFormat="1" x14ac:dyDescent="0.35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9" s="17" customFormat="1" x14ac:dyDescent="0.35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</row>
    <row r="12" spans="1:29" s="17" customFormat="1" x14ac:dyDescent="0.35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</row>
    <row r="13" spans="1:29" s="17" customFormat="1" x14ac:dyDescent="0.3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9" s="17" customFormat="1" x14ac:dyDescent="0.35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</row>
    <row r="15" spans="1:29" s="17" customFormat="1" x14ac:dyDescent="0.35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29" s="17" customFormat="1" x14ac:dyDescent="0.3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</row>
    <row r="17" spans="2:28" s="17" customFormat="1" x14ac:dyDescent="0.35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</row>
    <row r="18" spans="2:28" s="17" customFormat="1" x14ac:dyDescent="0.35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</row>
    <row r="19" spans="2:28" s="17" customFormat="1" x14ac:dyDescent="0.35"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</row>
    <row r="20" spans="2:28" s="17" customFormat="1" x14ac:dyDescent="0.35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</row>
    <row r="21" spans="2:28" s="17" customFormat="1" x14ac:dyDescent="0.35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</row>
    <row r="22" spans="2:28" s="17" customFormat="1" x14ac:dyDescent="0.35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</row>
    <row r="23" spans="2:28" s="17" customFormat="1" x14ac:dyDescent="0.35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</row>
    <row r="24" spans="2:28" s="17" customFormat="1" x14ac:dyDescent="0.35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</row>
    <row r="25" spans="2:28" s="17" customFormat="1" x14ac:dyDescent="0.35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</row>
    <row r="26" spans="2:28" s="17" customFormat="1" x14ac:dyDescent="0.35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</row>
    <row r="27" spans="2:28" s="17" customFormat="1" x14ac:dyDescent="0.35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</row>
    <row r="28" spans="2:28" s="17" customFormat="1" x14ac:dyDescent="0.35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</row>
    <row r="29" spans="2:28" s="17" customFormat="1" x14ac:dyDescent="0.35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</row>
    <row r="30" spans="2:28" s="17" customFormat="1" x14ac:dyDescent="0.3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</row>
    <row r="31" spans="2:28" s="17" customFormat="1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</row>
    <row r="32" spans="2:28" s="17" customFormat="1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</row>
    <row r="33" spans="1:28" s="17" customFormat="1" x14ac:dyDescent="0.35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</row>
    <row r="34" spans="1:28" s="17" customFormat="1" x14ac:dyDescent="0.35"/>
    <row r="35" spans="1:28" s="17" customFormat="1" x14ac:dyDescent="0.35"/>
    <row r="36" spans="1:28" s="97" customFormat="1" ht="25.5" customHeight="1" x14ac:dyDescent="0.35">
      <c r="B36" s="98" t="s">
        <v>123</v>
      </c>
    </row>
    <row r="37" spans="1:28" s="17" customFormat="1" x14ac:dyDescent="0.35"/>
    <row r="38" spans="1:28" s="95" customFormat="1" x14ac:dyDescent="0.35">
      <c r="A38" s="17"/>
    </row>
    <row r="39" spans="1:28" s="95" customFormat="1" x14ac:dyDescent="0.35">
      <c r="A39" s="17"/>
    </row>
    <row r="40" spans="1:28" s="95" customFormat="1" x14ac:dyDescent="0.35">
      <c r="A40" s="17"/>
    </row>
    <row r="41" spans="1:28" s="95" customFormat="1" x14ac:dyDescent="0.35">
      <c r="A41" s="17"/>
    </row>
    <row r="42" spans="1:28" s="95" customFormat="1" x14ac:dyDescent="0.35">
      <c r="A42" s="17"/>
    </row>
    <row r="43" spans="1:28" s="95" customFormat="1" x14ac:dyDescent="0.35">
      <c r="A43" s="17"/>
    </row>
    <row r="44" spans="1:28" s="95" customFormat="1" x14ac:dyDescent="0.35">
      <c r="A44" s="17"/>
    </row>
    <row r="45" spans="1:28" s="95" customFormat="1" x14ac:dyDescent="0.35">
      <c r="A45" s="17"/>
    </row>
    <row r="46" spans="1:28" s="95" customFormat="1" x14ac:dyDescent="0.35">
      <c r="A46" s="17"/>
    </row>
    <row r="47" spans="1:28" s="95" customFormat="1" x14ac:dyDescent="0.35">
      <c r="A47" s="17"/>
    </row>
    <row r="48" spans="1:28" s="95" customFormat="1" x14ac:dyDescent="0.35">
      <c r="A48" s="17"/>
    </row>
    <row r="49" spans="1:1" s="95" customFormat="1" x14ac:dyDescent="0.35">
      <c r="A49" s="17"/>
    </row>
    <row r="50" spans="1:1" s="95" customFormat="1" x14ac:dyDescent="0.35">
      <c r="A50" s="17"/>
    </row>
    <row r="51" spans="1:1" s="95" customFormat="1" x14ac:dyDescent="0.35">
      <c r="A51" s="17"/>
    </row>
    <row r="52" spans="1:1" s="95" customFormat="1" x14ac:dyDescent="0.35">
      <c r="A52" s="17"/>
    </row>
    <row r="53" spans="1:1" s="95" customFormat="1" x14ac:dyDescent="0.35">
      <c r="A53" s="17"/>
    </row>
    <row r="54" spans="1:1" s="95" customFormat="1" x14ac:dyDescent="0.35">
      <c r="A54" s="17"/>
    </row>
    <row r="55" spans="1:1" s="95" customFormat="1" x14ac:dyDescent="0.35">
      <c r="A55" s="17"/>
    </row>
    <row r="56" spans="1:1" s="95" customFormat="1" x14ac:dyDescent="0.35">
      <c r="A56" s="17"/>
    </row>
    <row r="57" spans="1:1" s="95" customFormat="1" x14ac:dyDescent="0.35">
      <c r="A57" s="17"/>
    </row>
    <row r="58" spans="1:1" s="95" customFormat="1" x14ac:dyDescent="0.35">
      <c r="A58" s="17"/>
    </row>
    <row r="59" spans="1:1" s="95" customFormat="1" x14ac:dyDescent="0.35">
      <c r="A59" s="17"/>
    </row>
    <row r="60" spans="1:1" s="95" customFormat="1" x14ac:dyDescent="0.35">
      <c r="A60" s="17"/>
    </row>
    <row r="61" spans="1:1" s="95" customFormat="1" x14ac:dyDescent="0.35">
      <c r="A61" s="17"/>
    </row>
    <row r="62" spans="1:1" s="95" customFormat="1" x14ac:dyDescent="0.35">
      <c r="A62" s="17"/>
    </row>
    <row r="63" spans="1:1" s="95" customFormat="1" x14ac:dyDescent="0.35">
      <c r="A63" s="17"/>
    </row>
    <row r="64" spans="1:1" s="95" customFormat="1" x14ac:dyDescent="0.35">
      <c r="A64" s="17"/>
    </row>
    <row r="65" spans="1:1" s="95" customFormat="1" x14ac:dyDescent="0.35">
      <c r="A65" s="17"/>
    </row>
    <row r="66" spans="1:1" s="95" customFormat="1" x14ac:dyDescent="0.35">
      <c r="A66" s="17"/>
    </row>
    <row r="67" spans="1:1" s="95" customFormat="1" x14ac:dyDescent="0.35">
      <c r="A67" s="17"/>
    </row>
    <row r="68" spans="1:1" s="95" customFormat="1" x14ac:dyDescent="0.35">
      <c r="A68" s="17"/>
    </row>
    <row r="69" spans="1:1" s="95" customFormat="1" x14ac:dyDescent="0.35">
      <c r="A69" s="17"/>
    </row>
    <row r="70" spans="1:1" s="95" customFormat="1" x14ac:dyDescent="0.35">
      <c r="A70" s="17"/>
    </row>
    <row r="71" spans="1:1" s="95" customFormat="1" x14ac:dyDescent="0.35">
      <c r="A71" s="17"/>
    </row>
    <row r="72" spans="1:1" s="95" customFormat="1" x14ac:dyDescent="0.35">
      <c r="A72" s="17"/>
    </row>
    <row r="73" spans="1:1" s="95" customFormat="1" x14ac:dyDescent="0.35">
      <c r="A73" s="17"/>
    </row>
    <row r="74" spans="1:1" s="95" customFormat="1" x14ac:dyDescent="0.35">
      <c r="A74" s="17"/>
    </row>
    <row r="75" spans="1:1" s="95" customFormat="1" x14ac:dyDescent="0.35">
      <c r="A75" s="17"/>
    </row>
    <row r="76" spans="1:1" s="95" customFormat="1" x14ac:dyDescent="0.35">
      <c r="A76" s="17"/>
    </row>
    <row r="77" spans="1:1" s="95" customFormat="1" x14ac:dyDescent="0.35">
      <c r="A77" s="17"/>
    </row>
    <row r="78" spans="1:1" s="95" customFormat="1" x14ac:dyDescent="0.35">
      <c r="A78" s="17"/>
    </row>
    <row r="79" spans="1:1" s="95" customFormat="1" x14ac:dyDescent="0.35">
      <c r="A79" s="17"/>
    </row>
    <row r="80" spans="1:1" s="95" customFormat="1" x14ac:dyDescent="0.35">
      <c r="A80" s="17"/>
    </row>
    <row r="81" spans="1:29" s="95" customFormat="1" x14ac:dyDescent="0.35">
      <c r="A81" s="17"/>
    </row>
    <row r="82" spans="1:29" s="95" customFormat="1" x14ac:dyDescent="0.35">
      <c r="A82" s="17"/>
    </row>
    <row r="83" spans="1:29" s="95" customFormat="1" x14ac:dyDescent="0.35">
      <c r="A83" s="17"/>
    </row>
    <row r="84" spans="1:29" s="95" customFormat="1" x14ac:dyDescent="0.35">
      <c r="A84" s="17"/>
    </row>
    <row r="85" spans="1:29" s="95" customFormat="1" x14ac:dyDescent="0.35">
      <c r="A85" s="17"/>
    </row>
    <row r="86" spans="1:29" s="95" customFormat="1" x14ac:dyDescent="0.35">
      <c r="A86" s="17"/>
    </row>
    <row r="87" spans="1:29" s="95" customFormat="1" x14ac:dyDescent="0.35">
      <c r="A87" s="17"/>
    </row>
    <row r="88" spans="1:29" s="95" customFormat="1" x14ac:dyDescent="0.35">
      <c r="A88" s="17"/>
    </row>
    <row r="89" spans="1:29" s="17" customFormat="1" x14ac:dyDescent="0.35"/>
    <row r="90" spans="1:29" s="17" customFormat="1" x14ac:dyDescent="0.35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</row>
    <row r="91" spans="1:29" s="17" customFormat="1" x14ac:dyDescent="0.35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</row>
    <row r="92" spans="1:29" s="17" customFormat="1" x14ac:dyDescent="0.35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</row>
    <row r="93" spans="1:29" s="17" customFormat="1" x14ac:dyDescent="0.35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</row>
    <row r="94" spans="1:29" s="17" customFormat="1" x14ac:dyDescent="0.35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</row>
    <row r="95" spans="1:29" s="17" customFormat="1" x14ac:dyDescent="0.35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</row>
    <row r="96" spans="1:29" s="17" customFormat="1" x14ac:dyDescent="0.35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</row>
    <row r="97" spans="2:29" s="17" customFormat="1" x14ac:dyDescent="0.35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</row>
    <row r="98" spans="2:29" s="17" customFormat="1" x14ac:dyDescent="0.35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</row>
    <row r="99" spans="2:29" s="17" customFormat="1" x14ac:dyDescent="0.35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</row>
    <row r="100" spans="2:29" s="17" customFormat="1" x14ac:dyDescent="0.35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</row>
    <row r="101" spans="2:29" s="17" customFormat="1" x14ac:dyDescent="0.35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</row>
    <row r="102" spans="2:29" s="17" customFormat="1" x14ac:dyDescent="0.35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</row>
    <row r="103" spans="2:29" s="17" customFormat="1" x14ac:dyDescent="0.35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</row>
    <row r="104" spans="2:29" s="17" customFormat="1" x14ac:dyDescent="0.35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</row>
    <row r="105" spans="2:29" s="17" customFormat="1" x14ac:dyDescent="0.35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</row>
    <row r="106" spans="2:29" s="17" customFormat="1" x14ac:dyDescent="0.35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</row>
    <row r="107" spans="2:29" s="17" customFormat="1" x14ac:dyDescent="0.35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</row>
    <row r="108" spans="2:29" s="17" customFormat="1" x14ac:dyDescent="0.35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</row>
    <row r="109" spans="2:29" s="17" customFormat="1" x14ac:dyDescent="0.35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</row>
    <row r="110" spans="2:29" s="17" customFormat="1" x14ac:dyDescent="0.35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</row>
    <row r="111" spans="2:29" s="17" customFormat="1" x14ac:dyDescent="0.35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</row>
    <row r="112" spans="2:29" s="17" customFormat="1" x14ac:dyDescent="0.35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</row>
    <row r="113" spans="2:29" s="17" customFormat="1" x14ac:dyDescent="0.35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</row>
    <row r="114" spans="2:29" s="17" customFormat="1" x14ac:dyDescent="0.35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</row>
    <row r="115" spans="2:29" s="17" customFormat="1" x14ac:dyDescent="0.35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</row>
    <row r="116" spans="2:29" s="17" customFormat="1" x14ac:dyDescent="0.35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</row>
    <row r="117" spans="2:29" s="17" customFormat="1" x14ac:dyDescent="0.35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</row>
    <row r="118" spans="2:29" s="17" customFormat="1" x14ac:dyDescent="0.35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</row>
    <row r="119" spans="2:29" s="17" customFormat="1" x14ac:dyDescent="0.35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</row>
    <row r="120" spans="2:29" s="17" customFormat="1" x14ac:dyDescent="0.35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</row>
    <row r="121" spans="2:29" s="17" customFormat="1" x14ac:dyDescent="0.35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</row>
    <row r="122" spans="2:29" s="17" customFormat="1" x14ac:dyDescent="0.35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</row>
    <row r="123" spans="2:29" s="17" customFormat="1" x14ac:dyDescent="0.35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</row>
    <row r="124" spans="2:29" s="17" customFormat="1" x14ac:dyDescent="0.35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</row>
    <row r="125" spans="2:29" s="17" customFormat="1" x14ac:dyDescent="0.35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</row>
    <row r="126" spans="2:29" s="17" customFormat="1" x14ac:dyDescent="0.35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</row>
    <row r="127" spans="2:29" s="17" customFormat="1" x14ac:dyDescent="0.35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</row>
    <row r="128" spans="2:29" s="17" customFormat="1" x14ac:dyDescent="0.35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</row>
    <row r="129" spans="2:29" s="17" customFormat="1" x14ac:dyDescent="0.35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</row>
    <row r="130" spans="2:29" s="17" customFormat="1" x14ac:dyDescent="0.35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</row>
    <row r="131" spans="2:29" s="17" customFormat="1" x14ac:dyDescent="0.35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</row>
    <row r="132" spans="2:29" s="17" customFormat="1" x14ac:dyDescent="0.35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</row>
    <row r="133" spans="2:29" s="17" customFormat="1" x14ac:dyDescent="0.35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</row>
    <row r="134" spans="2:29" s="17" customFormat="1" x14ac:dyDescent="0.35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</row>
    <row r="135" spans="2:29" s="17" customFormat="1" x14ac:dyDescent="0.35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</row>
    <row r="136" spans="2:29" s="17" customFormat="1" x14ac:dyDescent="0.35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</row>
    <row r="137" spans="2:29" s="17" customFormat="1" x14ac:dyDescent="0.35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</row>
    <row r="138" spans="2:29" s="17" customFormat="1" x14ac:dyDescent="0.35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</row>
    <row r="139" spans="2:29" s="17" customFormat="1" x14ac:dyDescent="0.35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</row>
    <row r="140" spans="2:29" s="17" customFormat="1" x14ac:dyDescent="0.35"/>
    <row r="141" spans="2:29" s="17" customFormat="1" x14ac:dyDescent="0.35"/>
    <row r="142" spans="2:29" s="97" customFormat="1" ht="25.5" customHeight="1" x14ac:dyDescent="0.35">
      <c r="B142" s="98" t="s">
        <v>4</v>
      </c>
    </row>
    <row r="143" spans="2:29" s="17" customFormat="1" x14ac:dyDescent="0.35"/>
    <row r="144" spans="2:29" s="17" customFormat="1" x14ac:dyDescent="0.35"/>
    <row r="145" spans="2:28" s="17" customFormat="1" x14ac:dyDescent="0.35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</row>
    <row r="146" spans="2:28" s="17" customFormat="1" x14ac:dyDescent="0.35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</row>
    <row r="147" spans="2:28" s="17" customFormat="1" x14ac:dyDescent="0.35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</row>
    <row r="148" spans="2:28" s="17" customFormat="1" x14ac:dyDescent="0.35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</row>
    <row r="149" spans="2:28" s="17" customFormat="1" x14ac:dyDescent="0.35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</row>
    <row r="150" spans="2:28" s="17" customFormat="1" x14ac:dyDescent="0.35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</row>
    <row r="151" spans="2:28" s="17" customFormat="1" x14ac:dyDescent="0.35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</row>
    <row r="152" spans="2:28" s="17" customFormat="1" x14ac:dyDescent="0.35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</row>
    <row r="153" spans="2:28" s="17" customFormat="1" x14ac:dyDescent="0.35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</row>
    <row r="154" spans="2:28" s="17" customFormat="1" x14ac:dyDescent="0.35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</row>
    <row r="155" spans="2:28" s="17" customFormat="1" x14ac:dyDescent="0.35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</row>
    <row r="156" spans="2:28" s="17" customFormat="1" x14ac:dyDescent="0.35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</row>
    <row r="157" spans="2:28" s="17" customFormat="1" x14ac:dyDescent="0.35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</row>
    <row r="158" spans="2:28" s="17" customFormat="1" x14ac:dyDescent="0.35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</row>
    <row r="159" spans="2:28" s="17" customFormat="1" x14ac:dyDescent="0.35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</row>
    <row r="160" spans="2:28" s="17" customFormat="1" x14ac:dyDescent="0.35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</row>
    <row r="161" spans="2:28" s="17" customFormat="1" x14ac:dyDescent="0.35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</row>
    <row r="162" spans="2:28" s="17" customFormat="1" x14ac:dyDescent="0.35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</row>
    <row r="163" spans="2:28" s="17" customFormat="1" x14ac:dyDescent="0.35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</row>
    <row r="164" spans="2:28" s="17" customFormat="1" x14ac:dyDescent="0.35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</row>
    <row r="165" spans="2:28" s="17" customFormat="1" x14ac:dyDescent="0.35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</row>
    <row r="166" spans="2:28" s="17" customFormat="1" x14ac:dyDescent="0.35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</row>
    <row r="167" spans="2:28" s="17" customFormat="1" x14ac:dyDescent="0.35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</row>
    <row r="168" spans="2:28" s="17" customFormat="1" x14ac:dyDescent="0.35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</row>
    <row r="169" spans="2:28" s="17" customFormat="1" x14ac:dyDescent="0.35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</row>
    <row r="170" spans="2:28" s="17" customFormat="1" x14ac:dyDescent="0.35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</row>
    <row r="171" spans="2:28" s="17" customFormat="1" x14ac:dyDescent="0.35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</row>
    <row r="172" spans="2:28" s="17" customFormat="1" x14ac:dyDescent="0.35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</row>
    <row r="173" spans="2:28" s="17" customFormat="1" x14ac:dyDescent="0.35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</row>
    <row r="174" spans="2:28" s="17" customFormat="1" x14ac:dyDescent="0.35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</row>
    <row r="175" spans="2:28" s="17" customFormat="1" x14ac:dyDescent="0.35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</row>
    <row r="176" spans="2:28" s="17" customFormat="1" x14ac:dyDescent="0.35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</row>
    <row r="177" spans="2:28" s="17" customFormat="1" x14ac:dyDescent="0.35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</row>
    <row r="178" spans="2:28" s="17" customFormat="1" x14ac:dyDescent="0.35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</row>
    <row r="179" spans="2:28" s="17" customFormat="1" x14ac:dyDescent="0.35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</row>
    <row r="180" spans="2:28" s="17" customFormat="1" x14ac:dyDescent="0.35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</row>
    <row r="181" spans="2:28" s="17" customFormat="1" x14ac:dyDescent="0.35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</row>
    <row r="182" spans="2:28" s="17" customFormat="1" x14ac:dyDescent="0.35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</row>
    <row r="183" spans="2:28" s="17" customFormat="1" x14ac:dyDescent="0.35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</row>
    <row r="184" spans="2:28" s="17" customFormat="1" x14ac:dyDescent="0.35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</row>
    <row r="185" spans="2:28" s="17" customFormat="1" x14ac:dyDescent="0.35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</row>
    <row r="186" spans="2:28" s="17" customFormat="1" x14ac:dyDescent="0.35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</row>
    <row r="187" spans="2:28" s="17" customFormat="1" x14ac:dyDescent="0.35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</row>
    <row r="188" spans="2:28" s="17" customFormat="1" x14ac:dyDescent="0.35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</row>
    <row r="189" spans="2:28" s="17" customFormat="1" x14ac:dyDescent="0.35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</row>
    <row r="190" spans="2:28" s="17" customFormat="1" x14ac:dyDescent="0.35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</row>
    <row r="191" spans="2:28" s="17" customFormat="1" x14ac:dyDescent="0.35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</row>
    <row r="192" spans="2:28" s="17" customFormat="1" x14ac:dyDescent="0.35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</row>
    <row r="193" spans="2:28" s="17" customFormat="1" x14ac:dyDescent="0.35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</row>
    <row r="194" spans="2:28" s="17" customFormat="1" x14ac:dyDescent="0.35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</row>
    <row r="195" spans="2:28" s="17" customFormat="1" x14ac:dyDescent="0.35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</row>
    <row r="196" spans="2:28" s="17" customFormat="1" ht="20.25" customHeight="1" x14ac:dyDescent="0.35"/>
    <row r="197" spans="2:28" s="17" customFormat="1" x14ac:dyDescent="0.35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</row>
    <row r="198" spans="2:28" s="17" customFormat="1" x14ac:dyDescent="0.35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</row>
    <row r="199" spans="2:28" s="17" customFormat="1" x14ac:dyDescent="0.35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</row>
    <row r="200" spans="2:28" s="17" customFormat="1" x14ac:dyDescent="0.35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</row>
    <row r="201" spans="2:28" s="17" customFormat="1" x14ac:dyDescent="0.35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</row>
    <row r="202" spans="2:28" s="17" customFormat="1" x14ac:dyDescent="0.35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</row>
    <row r="203" spans="2:28" s="17" customFormat="1" x14ac:dyDescent="0.35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</row>
    <row r="204" spans="2:28" s="17" customFormat="1" x14ac:dyDescent="0.35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</row>
    <row r="205" spans="2:28" s="17" customFormat="1" x14ac:dyDescent="0.35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</row>
    <row r="206" spans="2:28" s="17" customFormat="1" x14ac:dyDescent="0.35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</row>
    <row r="207" spans="2:28" s="17" customFormat="1" x14ac:dyDescent="0.35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</row>
    <row r="208" spans="2:28" s="17" customFormat="1" x14ac:dyDescent="0.35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</row>
    <row r="209" spans="2:28" s="17" customFormat="1" x14ac:dyDescent="0.35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</row>
    <row r="210" spans="2:28" s="17" customFormat="1" x14ac:dyDescent="0.35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</row>
    <row r="211" spans="2:28" s="17" customFormat="1" x14ac:dyDescent="0.35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</row>
    <row r="212" spans="2:28" s="17" customFormat="1" x14ac:dyDescent="0.35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</row>
    <row r="213" spans="2:28" s="17" customFormat="1" x14ac:dyDescent="0.35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</row>
    <row r="214" spans="2:28" s="17" customFormat="1" x14ac:dyDescent="0.35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</row>
    <row r="215" spans="2:28" s="17" customFormat="1" x14ac:dyDescent="0.35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</row>
    <row r="216" spans="2:28" s="17" customFormat="1" x14ac:dyDescent="0.35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</row>
    <row r="217" spans="2:28" s="17" customFormat="1" x14ac:dyDescent="0.35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</row>
    <row r="218" spans="2:28" s="17" customFormat="1" x14ac:dyDescent="0.35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</row>
    <row r="219" spans="2:28" s="17" customFormat="1" x14ac:dyDescent="0.35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</row>
    <row r="220" spans="2:28" s="17" customFormat="1" x14ac:dyDescent="0.35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</row>
    <row r="221" spans="2:28" s="17" customFormat="1" x14ac:dyDescent="0.35"/>
    <row r="222" spans="2:28" s="17" customFormat="1" x14ac:dyDescent="0.35"/>
    <row r="223" spans="2:28" s="17" customFormat="1" x14ac:dyDescent="0.35"/>
    <row r="224" spans="2:28" s="17" customFormat="1" hidden="1" x14ac:dyDescent="0.35"/>
    <row r="225" s="17" customFormat="1" hidden="1" x14ac:dyDescent="0.35"/>
    <row r="226" s="17" customFormat="1" hidden="1" x14ac:dyDescent="0.35"/>
    <row r="227" s="17" customFormat="1" hidden="1" x14ac:dyDescent="0.35"/>
    <row r="228" s="17" customFormat="1" hidden="1" x14ac:dyDescent="0.35"/>
    <row r="229" s="17" customFormat="1" hidden="1" x14ac:dyDescent="0.35"/>
    <row r="230" s="17" customFormat="1" hidden="1" x14ac:dyDescent="0.35"/>
    <row r="231" s="17" customFormat="1" hidden="1" x14ac:dyDescent="0.35"/>
    <row r="232" s="17" customFormat="1" hidden="1" x14ac:dyDescent="0.35"/>
    <row r="233" s="17" customFormat="1" hidden="1" x14ac:dyDescent="0.35"/>
    <row r="234" s="17" customFormat="1" hidden="1" x14ac:dyDescent="0.35"/>
    <row r="235" s="17" customFormat="1" hidden="1" x14ac:dyDescent="0.35"/>
    <row r="236" s="17" customFormat="1" hidden="1" x14ac:dyDescent="0.35"/>
    <row r="237" s="17" customFormat="1" hidden="1" x14ac:dyDescent="0.35"/>
    <row r="238" s="17" customFormat="1" hidden="1" x14ac:dyDescent="0.35"/>
    <row r="239" s="17" customFormat="1" hidden="1" x14ac:dyDescent="0.35"/>
    <row r="240" s="17" customFormat="1" hidden="1" x14ac:dyDescent="0.35"/>
    <row r="241" s="17" customFormat="1" hidden="1" x14ac:dyDescent="0.35"/>
    <row r="242" s="17" customFormat="1" hidden="1" x14ac:dyDescent="0.35"/>
    <row r="243" s="17" customFormat="1" hidden="1" x14ac:dyDescent="0.35"/>
    <row r="244" s="17" customFormat="1" hidden="1" x14ac:dyDescent="0.35"/>
    <row r="245" s="17" customFormat="1" hidden="1" x14ac:dyDescent="0.35"/>
    <row r="246" s="17" customFormat="1" hidden="1" x14ac:dyDescent="0.35"/>
    <row r="247" s="17" customFormat="1" hidden="1" x14ac:dyDescent="0.35"/>
    <row r="248" s="17" customFormat="1" hidden="1" x14ac:dyDescent="0.35"/>
    <row r="249" s="17" customFormat="1" hidden="1" x14ac:dyDescent="0.35"/>
    <row r="250" s="17" customFormat="1" hidden="1" x14ac:dyDescent="0.35"/>
    <row r="251" s="17" customFormat="1" hidden="1" x14ac:dyDescent="0.35"/>
    <row r="252" s="17" customFormat="1" hidden="1" x14ac:dyDescent="0.35"/>
    <row r="253" s="17" customFormat="1" hidden="1" x14ac:dyDescent="0.35"/>
    <row r="254" s="17" customFormat="1" hidden="1" x14ac:dyDescent="0.35"/>
    <row r="255" s="17" customFormat="1" hidden="1" x14ac:dyDescent="0.35"/>
    <row r="256" s="17" customFormat="1" hidden="1" x14ac:dyDescent="0.35"/>
    <row r="257" s="17" customFormat="1" hidden="1" x14ac:dyDescent="0.35"/>
    <row r="258" s="17" customFormat="1" hidden="1" x14ac:dyDescent="0.35"/>
    <row r="259" s="17" customFormat="1" hidden="1" x14ac:dyDescent="0.35"/>
    <row r="260" s="17" customFormat="1" hidden="1" x14ac:dyDescent="0.35"/>
    <row r="261" s="17" customFormat="1" hidden="1" x14ac:dyDescent="0.35"/>
    <row r="262" s="17" customFormat="1" hidden="1" x14ac:dyDescent="0.35"/>
    <row r="263" s="17" customFormat="1" hidden="1" x14ac:dyDescent="0.35"/>
    <row r="264" s="17" customFormat="1" hidden="1" x14ac:dyDescent="0.35"/>
    <row r="265" s="17" customFormat="1" hidden="1" x14ac:dyDescent="0.35"/>
    <row r="266" s="17" customFormat="1" hidden="1" x14ac:dyDescent="0.35"/>
    <row r="267" s="17" customFormat="1" hidden="1" x14ac:dyDescent="0.35"/>
    <row r="268" s="17" customFormat="1" hidden="1" x14ac:dyDescent="0.35"/>
    <row r="269" s="17" customFormat="1" hidden="1" x14ac:dyDescent="0.35"/>
    <row r="270" s="17" customFormat="1" hidden="1" x14ac:dyDescent="0.35"/>
    <row r="271" s="17" customFormat="1" hidden="1" x14ac:dyDescent="0.35"/>
    <row r="272" s="17" customFormat="1" hidden="1" x14ac:dyDescent="0.35"/>
    <row r="273" s="17" customFormat="1" hidden="1" x14ac:dyDescent="0.35"/>
    <row r="274" s="17" customFormat="1" hidden="1" x14ac:dyDescent="0.35"/>
    <row r="275" s="17" customFormat="1" hidden="1" x14ac:dyDescent="0.35"/>
    <row r="276" s="17" customFormat="1" hidden="1" x14ac:dyDescent="0.35"/>
    <row r="277" s="17" customFormat="1" hidden="1" x14ac:dyDescent="0.35"/>
    <row r="278" s="17" customFormat="1" hidden="1" x14ac:dyDescent="0.35"/>
    <row r="279" s="17" customFormat="1" hidden="1" x14ac:dyDescent="0.35"/>
    <row r="280" s="17" customFormat="1" hidden="1" x14ac:dyDescent="0.35"/>
    <row r="281" s="17" customFormat="1" hidden="1" x14ac:dyDescent="0.35"/>
    <row r="282" s="17" customFormat="1" hidden="1" x14ac:dyDescent="0.35"/>
    <row r="283" s="17" customFormat="1" hidden="1" x14ac:dyDescent="0.35"/>
    <row r="284" s="17" customFormat="1" hidden="1" x14ac:dyDescent="0.35"/>
    <row r="285" s="17" customFormat="1" hidden="1" x14ac:dyDescent="0.35"/>
    <row r="286" s="17" customFormat="1" hidden="1" x14ac:dyDescent="0.35"/>
    <row r="287" s="17" customFormat="1" hidden="1" x14ac:dyDescent="0.35"/>
    <row r="288" s="17" customFormat="1" hidden="1" x14ac:dyDescent="0.35"/>
    <row r="289" s="17" customFormat="1" hidden="1" x14ac:dyDescent="0.35"/>
    <row r="290" s="17" customFormat="1" hidden="1" x14ac:dyDescent="0.35"/>
    <row r="291" s="17" customFormat="1" hidden="1" x14ac:dyDescent="0.35"/>
    <row r="292" s="17" customFormat="1" hidden="1" x14ac:dyDescent="0.35"/>
    <row r="293" s="17" customFormat="1" hidden="1" x14ac:dyDescent="0.35"/>
    <row r="294" s="17" customFormat="1" hidden="1" x14ac:dyDescent="0.35"/>
    <row r="295" s="17" customFormat="1" hidden="1" x14ac:dyDescent="0.35"/>
    <row r="296" s="17" customFormat="1" hidden="1" x14ac:dyDescent="0.35"/>
    <row r="297" s="17" customFormat="1" hidden="1" x14ac:dyDescent="0.35"/>
    <row r="298" s="17" customFormat="1" hidden="1" x14ac:dyDescent="0.35"/>
    <row r="299" s="17" customFormat="1" hidden="1" x14ac:dyDescent="0.35"/>
    <row r="300" s="17" customFormat="1" hidden="1" x14ac:dyDescent="0.35"/>
    <row r="301" s="17" customFormat="1" hidden="1" x14ac:dyDescent="0.35"/>
    <row r="302" s="17" customFormat="1" hidden="1" x14ac:dyDescent="0.35"/>
    <row r="303" s="17" customFormat="1" hidden="1" x14ac:dyDescent="0.35"/>
    <row r="304" s="17" customFormat="1" hidden="1" x14ac:dyDescent="0.35"/>
    <row r="305" s="17" customFormat="1" hidden="1" x14ac:dyDescent="0.35"/>
    <row r="306" s="17" customFormat="1" hidden="1" x14ac:dyDescent="0.35"/>
    <row r="307" s="17" customFormat="1" hidden="1" x14ac:dyDescent="0.35"/>
    <row r="308" s="17" customFormat="1" hidden="1" x14ac:dyDescent="0.35"/>
    <row r="309" s="17" customFormat="1" hidden="1" x14ac:dyDescent="0.35"/>
    <row r="310" s="17" customFormat="1" hidden="1" x14ac:dyDescent="0.35"/>
    <row r="311" s="17" customFormat="1" hidden="1" x14ac:dyDescent="0.35"/>
    <row r="312" s="17" customFormat="1" hidden="1" x14ac:dyDescent="0.35"/>
    <row r="313" s="17" customFormat="1" hidden="1" x14ac:dyDescent="0.35"/>
    <row r="314" s="17" customFormat="1" hidden="1" x14ac:dyDescent="0.35"/>
    <row r="315" s="17" customFormat="1" hidden="1" x14ac:dyDescent="0.35"/>
    <row r="316" s="17" customFormat="1" hidden="1" x14ac:dyDescent="0.35"/>
    <row r="317" s="17" customFormat="1" hidden="1" x14ac:dyDescent="0.35"/>
    <row r="318" s="17" customFormat="1" hidden="1" x14ac:dyDescent="0.35"/>
    <row r="319" s="17" customFormat="1" hidden="1" x14ac:dyDescent="0.35"/>
    <row r="320" s="17" customFormat="1" hidden="1" x14ac:dyDescent="0.35"/>
    <row r="321" s="17" customFormat="1" hidden="1" x14ac:dyDescent="0.35"/>
    <row r="322" s="17" customFormat="1" hidden="1" x14ac:dyDescent="0.35"/>
    <row r="323" s="17" customFormat="1" hidden="1" x14ac:dyDescent="0.35"/>
    <row r="324" s="17" customFormat="1" hidden="1" x14ac:dyDescent="0.35"/>
    <row r="325" s="17" customFormat="1" hidden="1" x14ac:dyDescent="0.35"/>
    <row r="326" s="17" customFormat="1" hidden="1" x14ac:dyDescent="0.35"/>
    <row r="327" s="17" customFormat="1" hidden="1" x14ac:dyDescent="0.35"/>
    <row r="328" s="17" customFormat="1" hidden="1" x14ac:dyDescent="0.35"/>
    <row r="329" s="17" customFormat="1" hidden="1" x14ac:dyDescent="0.35"/>
    <row r="330" s="17" customFormat="1" hidden="1" x14ac:dyDescent="0.35"/>
    <row r="331" s="17" customFormat="1" hidden="1" x14ac:dyDescent="0.35"/>
    <row r="332" s="17" customFormat="1" hidden="1" x14ac:dyDescent="0.35"/>
    <row r="333" s="17" customFormat="1" hidden="1" x14ac:dyDescent="0.35"/>
    <row r="334" s="17" customFormat="1" hidden="1" x14ac:dyDescent="0.35"/>
    <row r="335" s="17" customFormat="1" hidden="1" x14ac:dyDescent="0.35"/>
    <row r="336" s="17" customFormat="1" hidden="1" x14ac:dyDescent="0.35"/>
    <row r="337" s="17" customFormat="1" hidden="1" x14ac:dyDescent="0.35"/>
    <row r="338" s="17" customFormat="1" hidden="1" x14ac:dyDescent="0.35"/>
    <row r="339" s="17" customFormat="1" hidden="1" x14ac:dyDescent="0.35"/>
    <row r="340" s="17" customFormat="1" hidden="1" x14ac:dyDescent="0.35"/>
    <row r="341" s="17" customFormat="1" hidden="1" x14ac:dyDescent="0.35"/>
    <row r="342" s="17" customFormat="1" hidden="1" x14ac:dyDescent="0.35"/>
    <row r="343" s="17" customFormat="1" hidden="1" x14ac:dyDescent="0.35"/>
    <row r="344" s="17" customFormat="1" hidden="1" x14ac:dyDescent="0.35"/>
    <row r="345" s="17" customFormat="1" hidden="1" x14ac:dyDescent="0.35"/>
    <row r="346" s="17" customFormat="1" hidden="1" x14ac:dyDescent="0.35"/>
    <row r="347" s="17" customFormat="1" hidden="1" x14ac:dyDescent="0.35"/>
    <row r="348" s="17" customFormat="1" hidden="1" x14ac:dyDescent="0.35"/>
    <row r="349" s="17" customFormat="1" hidden="1" x14ac:dyDescent="0.35"/>
    <row r="350" s="17" customFormat="1" hidden="1" x14ac:dyDescent="0.35"/>
    <row r="351" s="17" customFormat="1" hidden="1" x14ac:dyDescent="0.35"/>
    <row r="352" s="17" customFormat="1" hidden="1" x14ac:dyDescent="0.35"/>
    <row r="353" s="17" customFormat="1" hidden="1" x14ac:dyDescent="0.35"/>
    <row r="354" s="17" customFormat="1" hidden="1" x14ac:dyDescent="0.35"/>
    <row r="355" s="17" customFormat="1" hidden="1" x14ac:dyDescent="0.35"/>
    <row r="356" s="17" customFormat="1" hidden="1" x14ac:dyDescent="0.35"/>
    <row r="357" s="17" customFormat="1" hidden="1" x14ac:dyDescent="0.35"/>
    <row r="358" s="17" customFormat="1" hidden="1" x14ac:dyDescent="0.35"/>
    <row r="359" s="17" customFormat="1" hidden="1" x14ac:dyDescent="0.35"/>
    <row r="360" s="17" customFormat="1" hidden="1" x14ac:dyDescent="0.35"/>
    <row r="361" s="17" customFormat="1" hidden="1" x14ac:dyDescent="0.35"/>
    <row r="362" s="17" customFormat="1" hidden="1" x14ac:dyDescent="0.35"/>
    <row r="363" s="17" customFormat="1" hidden="1" x14ac:dyDescent="0.35"/>
    <row r="364" s="17" customFormat="1" hidden="1" x14ac:dyDescent="0.35"/>
    <row r="365" s="17" customFormat="1" hidden="1" x14ac:dyDescent="0.35"/>
    <row r="366" s="17" customFormat="1" hidden="1" x14ac:dyDescent="0.35"/>
    <row r="367" s="17" customFormat="1" hidden="1" x14ac:dyDescent="0.35"/>
    <row r="368" s="17" customFormat="1" hidden="1" x14ac:dyDescent="0.35"/>
    <row r="369" s="17" customFormat="1" hidden="1" x14ac:dyDescent="0.35"/>
    <row r="370" s="17" customFormat="1" hidden="1" x14ac:dyDescent="0.35"/>
    <row r="371" s="17" customFormat="1" hidden="1" x14ac:dyDescent="0.35"/>
    <row r="372" s="17" customFormat="1" hidden="1" x14ac:dyDescent="0.35"/>
    <row r="373" s="17" customFormat="1" hidden="1" x14ac:dyDescent="0.35"/>
    <row r="374" s="17" customFormat="1" hidden="1" x14ac:dyDescent="0.35"/>
    <row r="375" s="17" customFormat="1" hidden="1" x14ac:dyDescent="0.35"/>
    <row r="376" s="17" customFormat="1" hidden="1" x14ac:dyDescent="0.35"/>
    <row r="377" s="17" customFormat="1" hidden="1" x14ac:dyDescent="0.35"/>
    <row r="378" s="17" customFormat="1" hidden="1" x14ac:dyDescent="0.35"/>
    <row r="379" s="17" customFormat="1" hidden="1" x14ac:dyDescent="0.35"/>
    <row r="380" s="17" customFormat="1" hidden="1" x14ac:dyDescent="0.35"/>
    <row r="381" s="17" customFormat="1" hidden="1" x14ac:dyDescent="0.35"/>
    <row r="382" s="17" customFormat="1" hidden="1" x14ac:dyDescent="0.35"/>
    <row r="383" s="17" customFormat="1" hidden="1" x14ac:dyDescent="0.35"/>
    <row r="384" s="17" customFormat="1" hidden="1" x14ac:dyDescent="0.35"/>
    <row r="385" s="17" customFormat="1" hidden="1" x14ac:dyDescent="0.35"/>
    <row r="386" s="17" customFormat="1" hidden="1" x14ac:dyDescent="0.35"/>
    <row r="387" s="17" customFormat="1" hidden="1" x14ac:dyDescent="0.35"/>
    <row r="388" s="17" customFormat="1" hidden="1" x14ac:dyDescent="0.35"/>
    <row r="389" s="17" customFormat="1" hidden="1" x14ac:dyDescent="0.35"/>
    <row r="390" s="17" customFormat="1" hidden="1" x14ac:dyDescent="0.35"/>
    <row r="391" s="17" customFormat="1" hidden="1" x14ac:dyDescent="0.35"/>
    <row r="392" s="17" customFormat="1" hidden="1" x14ac:dyDescent="0.35"/>
    <row r="393" s="17" customFormat="1" hidden="1" x14ac:dyDescent="0.35"/>
    <row r="394" s="17" customFormat="1" hidden="1" x14ac:dyDescent="0.35"/>
    <row r="395" s="17" customFormat="1" hidden="1" x14ac:dyDescent="0.35"/>
    <row r="396" s="17" customFormat="1" hidden="1" x14ac:dyDescent="0.35"/>
    <row r="397" s="17" customFormat="1" hidden="1" x14ac:dyDescent="0.35"/>
    <row r="398" s="17" customFormat="1" hidden="1" x14ac:dyDescent="0.35"/>
    <row r="399" s="17" customFormat="1" hidden="1" x14ac:dyDescent="0.35"/>
    <row r="400" s="17" customFormat="1" hidden="1" x14ac:dyDescent="0.35"/>
    <row r="401" s="17" customFormat="1" hidden="1" x14ac:dyDescent="0.35"/>
    <row r="402" s="17" customFormat="1" hidden="1" x14ac:dyDescent="0.35"/>
    <row r="403" s="17" customFormat="1" hidden="1" x14ac:dyDescent="0.35"/>
    <row r="404" s="17" customFormat="1" hidden="1" x14ac:dyDescent="0.35"/>
    <row r="405" s="17" customFormat="1" hidden="1" x14ac:dyDescent="0.35"/>
    <row r="406" s="17" customFormat="1" hidden="1" x14ac:dyDescent="0.35"/>
    <row r="407" s="17" customFormat="1" hidden="1" x14ac:dyDescent="0.35"/>
    <row r="408" s="17" customFormat="1" hidden="1" x14ac:dyDescent="0.35"/>
    <row r="409" s="17" customFormat="1" hidden="1" x14ac:dyDescent="0.35"/>
    <row r="410" s="17" customFormat="1" hidden="1" x14ac:dyDescent="0.35"/>
    <row r="411" s="17" customFormat="1" hidden="1" x14ac:dyDescent="0.35"/>
    <row r="412" s="17" customFormat="1" hidden="1" x14ac:dyDescent="0.35"/>
    <row r="413" s="17" customFormat="1" hidden="1" x14ac:dyDescent="0.35"/>
    <row r="414" s="17" customFormat="1" hidden="1" x14ac:dyDescent="0.35"/>
    <row r="415" s="17" customFormat="1" hidden="1" x14ac:dyDescent="0.35"/>
    <row r="416" s="17" customFormat="1" hidden="1" x14ac:dyDescent="0.35"/>
    <row r="417" s="17" customFormat="1" hidden="1" x14ac:dyDescent="0.35"/>
    <row r="418" s="17" customFormat="1" hidden="1" x14ac:dyDescent="0.35"/>
    <row r="419" s="17" customFormat="1" hidden="1" x14ac:dyDescent="0.35"/>
    <row r="420" s="17" customFormat="1" hidden="1" x14ac:dyDescent="0.35"/>
    <row r="421" s="17" customFormat="1" hidden="1" x14ac:dyDescent="0.35"/>
    <row r="422" s="17" customFormat="1" hidden="1" x14ac:dyDescent="0.35"/>
    <row r="423" s="17" customFormat="1" hidden="1" x14ac:dyDescent="0.35"/>
    <row r="424" s="17" customFormat="1" hidden="1" x14ac:dyDescent="0.35"/>
    <row r="425" s="17" customFormat="1" hidden="1" x14ac:dyDescent="0.35"/>
    <row r="426" s="17" customFormat="1" hidden="1" x14ac:dyDescent="0.35"/>
    <row r="427" s="17" customFormat="1" hidden="1" x14ac:dyDescent="0.35"/>
    <row r="428" s="17" customFormat="1" hidden="1" x14ac:dyDescent="0.35"/>
    <row r="429" s="17" customFormat="1" hidden="1" x14ac:dyDescent="0.35"/>
    <row r="430" s="17" customFormat="1" hidden="1" x14ac:dyDescent="0.35"/>
    <row r="431" s="17" customFormat="1" hidden="1" x14ac:dyDescent="0.35"/>
    <row r="432" s="17" customFormat="1" hidden="1" x14ac:dyDescent="0.35"/>
    <row r="433" s="17" customFormat="1" hidden="1" x14ac:dyDescent="0.35"/>
    <row r="434" s="17" customFormat="1" hidden="1" x14ac:dyDescent="0.35"/>
    <row r="435" s="17" customFormat="1" hidden="1" x14ac:dyDescent="0.35"/>
    <row r="436" s="17" customFormat="1" hidden="1" x14ac:dyDescent="0.35"/>
    <row r="437" s="17" customFormat="1" hidden="1" x14ac:dyDescent="0.35"/>
    <row r="438" s="17" customFormat="1" hidden="1" x14ac:dyDescent="0.35"/>
    <row r="439" s="17" customFormat="1" hidden="1" x14ac:dyDescent="0.35"/>
    <row r="440" s="17" customFormat="1" hidden="1" x14ac:dyDescent="0.35"/>
    <row r="441" s="17" customFormat="1" hidden="1" x14ac:dyDescent="0.35"/>
    <row r="442" s="17" customFormat="1" hidden="1" x14ac:dyDescent="0.35"/>
    <row r="443" s="17" customFormat="1" hidden="1" x14ac:dyDescent="0.35"/>
    <row r="444" s="17" customFormat="1" hidden="1" x14ac:dyDescent="0.35"/>
    <row r="445" s="17" customFormat="1" hidden="1" x14ac:dyDescent="0.35"/>
    <row r="446" s="17" customFormat="1" hidden="1" x14ac:dyDescent="0.35"/>
    <row r="447" s="17" customFormat="1" hidden="1" x14ac:dyDescent="0.35"/>
    <row r="448" s="17" customFormat="1" hidden="1" x14ac:dyDescent="0.35"/>
    <row r="449" s="17" customFormat="1" hidden="1" x14ac:dyDescent="0.35"/>
    <row r="450" s="17" customFormat="1" hidden="1" x14ac:dyDescent="0.35"/>
    <row r="451" s="17" customFormat="1" hidden="1" x14ac:dyDescent="0.35"/>
    <row r="452" s="17" customFormat="1" hidden="1" x14ac:dyDescent="0.35"/>
    <row r="453" s="17" customFormat="1" hidden="1" x14ac:dyDescent="0.35"/>
    <row r="454" ht="14.5" customHeight="1" x14ac:dyDescent="0.35"/>
    <row r="455" ht="14.5" customHeight="1" x14ac:dyDescent="0.35"/>
    <row r="456" ht="14.5" customHeight="1" x14ac:dyDescent="0.35"/>
  </sheetData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3"/>
  <sheetViews>
    <sheetView showGridLines="0" workbookViewId="0">
      <selection activeCell="M1" sqref="M1:O1"/>
    </sheetView>
  </sheetViews>
  <sheetFormatPr defaultColWidth="0" defaultRowHeight="14.5" zeroHeight="1" x14ac:dyDescent="0.35"/>
  <cols>
    <col min="1" max="1" width="9.1796875" style="39" customWidth="1"/>
    <col min="2" max="2" width="1.1796875" style="17" customWidth="1"/>
    <col min="3" max="3" width="30" style="2" customWidth="1"/>
    <col min="4" max="4" width="17.54296875" style="2" customWidth="1"/>
    <col min="5" max="5" width="16.453125" style="2" customWidth="1"/>
    <col min="6" max="6" width="10.81640625" style="39" customWidth="1"/>
    <col min="7" max="7" width="10.81640625" style="48" customWidth="1"/>
    <col min="8" max="13" width="10.81640625" style="39" customWidth="1"/>
    <col min="14" max="14" width="2" style="17" customWidth="1"/>
    <col min="15" max="16" width="9.1796875" style="39" customWidth="1"/>
    <col min="17" max="19" width="0" style="39" hidden="1" customWidth="1"/>
    <col min="20" max="16384" width="9.1796875" style="39" hidden="1"/>
  </cols>
  <sheetData>
    <row r="1" spans="2:15" s="15" customFormat="1" ht="29.5" customHeight="1" x14ac:dyDescent="0.35">
      <c r="C1" s="454" t="s">
        <v>114</v>
      </c>
      <c r="D1" s="454"/>
      <c r="E1" s="101"/>
      <c r="G1" s="102"/>
      <c r="M1" s="503" t="s">
        <v>121</v>
      </c>
      <c r="N1" s="503"/>
      <c r="O1" s="503"/>
    </row>
    <row r="2" spans="2:15" x14ac:dyDescent="0.35">
      <c r="B2" s="50"/>
      <c r="C2" s="3"/>
      <c r="D2" s="3"/>
      <c r="E2" s="3"/>
      <c r="N2" s="50"/>
    </row>
    <row r="3" spans="2:15" x14ac:dyDescent="0.35">
      <c r="B3" s="50"/>
      <c r="C3" s="391" t="s">
        <v>182</v>
      </c>
      <c r="D3" s="3"/>
      <c r="E3" s="3"/>
      <c r="G3" s="389" t="s">
        <v>206</v>
      </c>
      <c r="H3" s="390"/>
      <c r="I3" s="390"/>
      <c r="J3" s="390"/>
      <c r="K3" s="390"/>
      <c r="N3" s="50"/>
    </row>
    <row r="4" spans="2:15" x14ac:dyDescent="0.35">
      <c r="B4" s="50"/>
      <c r="C4" s="391"/>
      <c r="D4" s="3"/>
      <c r="E4" s="3"/>
      <c r="G4" s="390"/>
      <c r="H4" s="390"/>
      <c r="I4" s="390"/>
      <c r="J4" s="390"/>
      <c r="K4" s="390"/>
      <c r="N4" s="50"/>
    </row>
    <row r="5" spans="2:15" ht="15" thickBot="1" x14ac:dyDescent="0.4">
      <c r="B5" s="50"/>
      <c r="N5" s="50"/>
    </row>
    <row r="6" spans="2:15" s="13" customFormat="1" ht="25.9" customHeight="1" thickTop="1" thickBot="1" x14ac:dyDescent="0.4">
      <c r="B6" s="107"/>
      <c r="C6" s="396"/>
      <c r="D6" s="397"/>
      <c r="E6" s="398"/>
      <c r="F6" s="399" t="s">
        <v>185</v>
      </c>
      <c r="G6" s="400"/>
      <c r="H6" s="399" t="s">
        <v>186</v>
      </c>
      <c r="I6" s="400"/>
      <c r="J6" s="399" t="s">
        <v>187</v>
      </c>
      <c r="K6" s="400"/>
      <c r="L6" s="399" t="s">
        <v>188</v>
      </c>
      <c r="M6" s="400"/>
      <c r="N6" s="108"/>
    </row>
    <row r="7" spans="2:15" ht="10.5" customHeight="1" thickTop="1" x14ac:dyDescent="0.35">
      <c r="B7" s="50"/>
      <c r="C7" s="407" t="s">
        <v>50</v>
      </c>
      <c r="D7" s="410" t="s">
        <v>13</v>
      </c>
      <c r="E7" s="411"/>
      <c r="F7" s="414">
        <f ca="1">Data!G25</f>
        <v>0</v>
      </c>
      <c r="G7" s="415"/>
      <c r="H7" s="420">
        <f ca="1">Data!G76</f>
        <v>0</v>
      </c>
      <c r="I7" s="421"/>
      <c r="J7" s="431">
        <f ca="1">Data!G127</f>
        <v>0</v>
      </c>
      <c r="K7" s="432"/>
      <c r="L7" s="401" t="str">
        <f ca="1">Data!G178</f>
        <v>No data</v>
      </c>
      <c r="M7" s="402"/>
      <c r="N7" s="109"/>
    </row>
    <row r="8" spans="2:15" ht="10.5" customHeight="1" x14ac:dyDescent="0.35">
      <c r="B8" s="50"/>
      <c r="C8" s="408"/>
      <c r="D8" s="412"/>
      <c r="E8" s="413"/>
      <c r="F8" s="416"/>
      <c r="G8" s="417"/>
      <c r="H8" s="422"/>
      <c r="I8" s="423"/>
      <c r="J8" s="433"/>
      <c r="K8" s="434"/>
      <c r="L8" s="403"/>
      <c r="M8" s="404"/>
      <c r="N8" s="109"/>
    </row>
    <row r="9" spans="2:15" ht="10.5" customHeight="1" thickBot="1" x14ac:dyDescent="0.4">
      <c r="B9" s="50"/>
      <c r="C9" s="408"/>
      <c r="D9" s="412"/>
      <c r="E9" s="413"/>
      <c r="F9" s="418"/>
      <c r="G9" s="419"/>
      <c r="H9" s="424"/>
      <c r="I9" s="425"/>
      <c r="J9" s="435"/>
      <c r="K9" s="436"/>
      <c r="L9" s="405"/>
      <c r="M9" s="406"/>
      <c r="N9" s="109"/>
    </row>
    <row r="10" spans="2:15" ht="10.5" customHeight="1" thickTop="1" x14ac:dyDescent="0.35">
      <c r="B10" s="50"/>
      <c r="C10" s="408"/>
      <c r="D10" s="410" t="s">
        <v>14</v>
      </c>
      <c r="E10" s="411"/>
      <c r="F10" s="414">
        <f ca="1">Data!H25</f>
        <v>0</v>
      </c>
      <c r="G10" s="426"/>
      <c r="H10" s="420">
        <f ca="1">Data!H76</f>
        <v>0</v>
      </c>
      <c r="I10" s="421"/>
      <c r="J10" s="431">
        <f ca="1">Data!H127</f>
        <v>0</v>
      </c>
      <c r="K10" s="432"/>
      <c r="L10" s="401" t="str">
        <f ca="1">Data!H178</f>
        <v>No data</v>
      </c>
      <c r="M10" s="402"/>
      <c r="N10" s="109"/>
    </row>
    <row r="11" spans="2:15" ht="10.5" customHeight="1" x14ac:dyDescent="0.35">
      <c r="B11" s="50"/>
      <c r="C11" s="408"/>
      <c r="D11" s="412"/>
      <c r="E11" s="413"/>
      <c r="F11" s="427"/>
      <c r="G11" s="428"/>
      <c r="H11" s="422"/>
      <c r="I11" s="423"/>
      <c r="J11" s="433"/>
      <c r="K11" s="434"/>
      <c r="L11" s="403"/>
      <c r="M11" s="404"/>
      <c r="N11" s="109"/>
    </row>
    <row r="12" spans="2:15" ht="10.5" customHeight="1" thickBot="1" x14ac:dyDescent="0.4">
      <c r="B12" s="50"/>
      <c r="C12" s="409"/>
      <c r="D12" s="412"/>
      <c r="E12" s="413"/>
      <c r="F12" s="429"/>
      <c r="G12" s="430"/>
      <c r="H12" s="424"/>
      <c r="I12" s="425"/>
      <c r="J12" s="435"/>
      <c r="K12" s="436"/>
      <c r="L12" s="405"/>
      <c r="M12" s="406"/>
      <c r="N12" s="109"/>
    </row>
    <row r="13" spans="2:15" ht="15" customHeight="1" thickTop="1" x14ac:dyDescent="0.35">
      <c r="B13" s="50"/>
      <c r="C13" s="394" t="s">
        <v>205</v>
      </c>
      <c r="D13" s="407" t="s">
        <v>13</v>
      </c>
      <c r="E13" s="438" t="s">
        <v>38</v>
      </c>
      <c r="F13" s="439">
        <f ca="1">Data!J25</f>
        <v>31</v>
      </c>
      <c r="G13" s="441">
        <f ca="1">IFERROR(F13/F19,"(-%)")</f>
        <v>0.21830985915492956</v>
      </c>
      <c r="H13" s="450">
        <f ca="1">Data!J76</f>
        <v>35</v>
      </c>
      <c r="I13" s="451">
        <f ca="1">IFERROR(H13/H19,"(-%)")</f>
        <v>0.22292993630573249</v>
      </c>
      <c r="J13" s="444">
        <f ca="1">Data!J127</f>
        <v>126</v>
      </c>
      <c r="K13" s="446">
        <f ca="1">IFERROR(J13/J19,"(-%)")</f>
        <v>0.44366197183098594</v>
      </c>
      <c r="L13" s="392" t="str">
        <f ca="1">Data!J178</f>
        <v>No data</v>
      </c>
      <c r="M13" s="462" t="str">
        <f ca="1">IFERROR(L13/L19,"(-%)")</f>
        <v>(-%)</v>
      </c>
      <c r="N13" s="110"/>
    </row>
    <row r="14" spans="2:15" ht="15" customHeight="1" x14ac:dyDescent="0.35">
      <c r="B14" s="50"/>
      <c r="C14" s="395"/>
      <c r="D14" s="408"/>
      <c r="E14" s="437"/>
      <c r="F14" s="440"/>
      <c r="G14" s="442"/>
      <c r="H14" s="449"/>
      <c r="I14" s="448"/>
      <c r="J14" s="445"/>
      <c r="K14" s="447"/>
      <c r="L14" s="393"/>
      <c r="M14" s="461"/>
      <c r="N14" s="110"/>
    </row>
    <row r="15" spans="2:15" ht="15" customHeight="1" x14ac:dyDescent="0.35">
      <c r="B15" s="50"/>
      <c r="C15" s="395"/>
      <c r="D15" s="408"/>
      <c r="E15" s="437" t="s">
        <v>39</v>
      </c>
      <c r="F15" s="440">
        <f ca="1">Data!K25</f>
        <v>69</v>
      </c>
      <c r="G15" s="442">
        <f ca="1">IFERROR(F15/F19,"(-%)")</f>
        <v>0.4859154929577465</v>
      </c>
      <c r="H15" s="449">
        <f ca="1">Data!K76</f>
        <v>55</v>
      </c>
      <c r="I15" s="448">
        <f ca="1">IFERROR(H15/H19,"(-%)")</f>
        <v>0.3503184713375796</v>
      </c>
      <c r="J15" s="445">
        <f ca="1">Data!K127</f>
        <v>100</v>
      </c>
      <c r="K15" s="447">
        <f ca="1">IFERROR(J15/J19,"(-%)")</f>
        <v>0.352112676056338</v>
      </c>
      <c r="L15" s="393" t="str">
        <f ca="1">Data!K178</f>
        <v>No data</v>
      </c>
      <c r="M15" s="461" t="str">
        <f ca="1">IFERROR(L15/L19,"(-%)")</f>
        <v>(-%)</v>
      </c>
      <c r="N15" s="110"/>
    </row>
    <row r="16" spans="2:15" ht="15" customHeight="1" x14ac:dyDescent="0.35">
      <c r="B16" s="50"/>
      <c r="C16" s="395"/>
      <c r="D16" s="408"/>
      <c r="E16" s="437"/>
      <c r="F16" s="440"/>
      <c r="G16" s="442"/>
      <c r="H16" s="449"/>
      <c r="I16" s="448"/>
      <c r="J16" s="445"/>
      <c r="K16" s="447"/>
      <c r="L16" s="393"/>
      <c r="M16" s="461"/>
      <c r="N16" s="110"/>
    </row>
    <row r="17" spans="2:14" ht="15" customHeight="1" x14ac:dyDescent="0.35">
      <c r="B17" s="50"/>
      <c r="C17" s="395"/>
      <c r="D17" s="408"/>
      <c r="E17" s="443" t="s">
        <v>40</v>
      </c>
      <c r="F17" s="440">
        <f ca="1">Data!L25</f>
        <v>42</v>
      </c>
      <c r="G17" s="442">
        <f ca="1">IFERROR(F17/F19,"(-%)")</f>
        <v>0.29577464788732394</v>
      </c>
      <c r="H17" s="449">
        <f ca="1">Data!L76</f>
        <v>67</v>
      </c>
      <c r="I17" s="448">
        <f ca="1">IFERROR(H17/H19,"(-%)")</f>
        <v>0.42675159235668791</v>
      </c>
      <c r="J17" s="445">
        <f ca="1">Data!L127</f>
        <v>58</v>
      </c>
      <c r="K17" s="447">
        <f ca="1">IFERROR(J17/J19,"(-%)")</f>
        <v>0.20422535211267606</v>
      </c>
      <c r="L17" s="393" t="str">
        <f ca="1">Data!L178</f>
        <v>No data</v>
      </c>
      <c r="M17" s="461" t="str">
        <f ca="1">IFERROR(L17/L19,"(-%)")</f>
        <v>(-%)</v>
      </c>
      <c r="N17" s="110"/>
    </row>
    <row r="18" spans="2:14" ht="15" customHeight="1" x14ac:dyDescent="0.35">
      <c r="B18" s="50"/>
      <c r="C18" s="395"/>
      <c r="D18" s="408"/>
      <c r="E18" s="437"/>
      <c r="F18" s="440"/>
      <c r="G18" s="442"/>
      <c r="H18" s="449"/>
      <c r="I18" s="448"/>
      <c r="J18" s="445"/>
      <c r="K18" s="447"/>
      <c r="L18" s="393"/>
      <c r="M18" s="461"/>
      <c r="N18" s="110"/>
    </row>
    <row r="19" spans="2:14" ht="26.25" customHeight="1" thickBot="1" x14ac:dyDescent="0.4">
      <c r="B19" s="50"/>
      <c r="C19" s="395"/>
      <c r="D19" s="409"/>
      <c r="E19" s="89" t="s">
        <v>204</v>
      </c>
      <c r="F19" s="463">
        <f ca="1">Data!N25</f>
        <v>142</v>
      </c>
      <c r="G19" s="464"/>
      <c r="H19" s="465">
        <f ca="1">Data!N76</f>
        <v>157</v>
      </c>
      <c r="I19" s="466"/>
      <c r="J19" s="477">
        <f ca="1">Data!N127</f>
        <v>284</v>
      </c>
      <c r="K19" s="478"/>
      <c r="L19" s="456" t="str">
        <f ca="1">Data!N178</f>
        <v>No data</v>
      </c>
      <c r="M19" s="457"/>
      <c r="N19" s="109"/>
    </row>
    <row r="20" spans="2:14" ht="15" customHeight="1" thickTop="1" x14ac:dyDescent="0.35">
      <c r="B20" s="50"/>
      <c r="C20" s="395"/>
      <c r="D20" s="407" t="s">
        <v>14</v>
      </c>
      <c r="E20" s="438" t="s">
        <v>38</v>
      </c>
      <c r="F20" s="439">
        <f ca="1">Data!P25</f>
        <v>0</v>
      </c>
      <c r="G20" s="441" t="str">
        <f ca="1">IFERROR(F20/F26,"(-%)")</f>
        <v>(-%)</v>
      </c>
      <c r="H20" s="450">
        <f ca="1">Data!P76</f>
        <v>0</v>
      </c>
      <c r="I20" s="451" t="str">
        <f ca="1">IFERROR(H20/H26,"(-%)")</f>
        <v>(-%)</v>
      </c>
      <c r="J20" s="444">
        <f ca="1">Data!P127</f>
        <v>0</v>
      </c>
      <c r="K20" s="446" t="str">
        <f ca="1">IFERROR(J20/J26,"(-%)")</f>
        <v>(-%)</v>
      </c>
      <c r="L20" s="392" t="str">
        <f ca="1">Data!P178</f>
        <v>No data</v>
      </c>
      <c r="M20" s="462" t="str">
        <f ca="1">IFERROR(L20/L26,"(-%)")</f>
        <v>(-%)</v>
      </c>
      <c r="N20" s="110"/>
    </row>
    <row r="21" spans="2:14" ht="15" customHeight="1" x14ac:dyDescent="0.35">
      <c r="B21" s="50"/>
      <c r="C21" s="395"/>
      <c r="D21" s="408"/>
      <c r="E21" s="437"/>
      <c r="F21" s="440"/>
      <c r="G21" s="442"/>
      <c r="H21" s="449"/>
      <c r="I21" s="448"/>
      <c r="J21" s="459"/>
      <c r="K21" s="447"/>
      <c r="L21" s="460"/>
      <c r="M21" s="461"/>
      <c r="N21" s="110"/>
    </row>
    <row r="22" spans="2:14" ht="15" customHeight="1" x14ac:dyDescent="0.35">
      <c r="B22" s="50"/>
      <c r="C22" s="395"/>
      <c r="D22" s="408"/>
      <c r="E22" s="437" t="s">
        <v>39</v>
      </c>
      <c r="F22" s="440">
        <f ca="1">Data!Q25</f>
        <v>0</v>
      </c>
      <c r="G22" s="442" t="str">
        <f ca="1">IFERROR(F22/F26,"(-%)")</f>
        <v>(-%)</v>
      </c>
      <c r="H22" s="449">
        <f ca="1">Data!Q76</f>
        <v>0</v>
      </c>
      <c r="I22" s="448" t="str">
        <f ca="1">IFERROR(H22/H26,"(-%)")</f>
        <v>(-%)</v>
      </c>
      <c r="J22" s="445">
        <f ca="1">Data!Q127</f>
        <v>0</v>
      </c>
      <c r="K22" s="447" t="str">
        <f ca="1">IFERROR(J22/J26,"(-%)")</f>
        <v>(-%)</v>
      </c>
      <c r="L22" s="393" t="str">
        <f ca="1">Data!Q178</f>
        <v>No data</v>
      </c>
      <c r="M22" s="461" t="str">
        <f ca="1">IFERROR(L22/L26,"(-%)")</f>
        <v>(-%)</v>
      </c>
      <c r="N22" s="110"/>
    </row>
    <row r="23" spans="2:14" ht="15" customHeight="1" x14ac:dyDescent="0.35">
      <c r="B23" s="50"/>
      <c r="C23" s="395"/>
      <c r="D23" s="408"/>
      <c r="E23" s="437"/>
      <c r="F23" s="440"/>
      <c r="G23" s="442"/>
      <c r="H23" s="449"/>
      <c r="I23" s="448"/>
      <c r="J23" s="459"/>
      <c r="K23" s="447"/>
      <c r="L23" s="460"/>
      <c r="M23" s="461"/>
      <c r="N23" s="110"/>
    </row>
    <row r="24" spans="2:14" ht="15" customHeight="1" x14ac:dyDescent="0.35">
      <c r="B24" s="50"/>
      <c r="C24" s="395"/>
      <c r="D24" s="408"/>
      <c r="E24" s="443" t="s">
        <v>40</v>
      </c>
      <c r="F24" s="440">
        <f ca="1">Data!R25</f>
        <v>0</v>
      </c>
      <c r="G24" s="442" t="str">
        <f ca="1">IFERROR(F24/F26,"(-%)")</f>
        <v>(-%)</v>
      </c>
      <c r="H24" s="449">
        <f ca="1">Data!R76</f>
        <v>0</v>
      </c>
      <c r="I24" s="448" t="str">
        <f ca="1">IFERROR(H24/H26,"(-%)")</f>
        <v>(-%)</v>
      </c>
      <c r="J24" s="445">
        <f ca="1">Data!R127</f>
        <v>0</v>
      </c>
      <c r="K24" s="447" t="str">
        <f ca="1">IFERROR(J24/J26,"(-%)")</f>
        <v>(-%)</v>
      </c>
      <c r="L24" s="393" t="str">
        <f ca="1">Data!R178</f>
        <v>No data</v>
      </c>
      <c r="M24" s="461" t="str">
        <f ca="1">IFERROR(L24/L26,"(-%)")</f>
        <v>(-%)</v>
      </c>
      <c r="N24" s="110"/>
    </row>
    <row r="25" spans="2:14" ht="15" customHeight="1" x14ac:dyDescent="0.35">
      <c r="B25" s="50"/>
      <c r="C25" s="395"/>
      <c r="D25" s="408"/>
      <c r="E25" s="437"/>
      <c r="F25" s="440"/>
      <c r="G25" s="442"/>
      <c r="H25" s="449"/>
      <c r="I25" s="448"/>
      <c r="J25" s="459"/>
      <c r="K25" s="447"/>
      <c r="L25" s="460"/>
      <c r="M25" s="461"/>
      <c r="N25" s="110"/>
    </row>
    <row r="26" spans="2:14" ht="21.75" customHeight="1" thickBot="1" x14ac:dyDescent="0.4">
      <c r="B26" s="50"/>
      <c r="C26" s="395"/>
      <c r="D26" s="408"/>
      <c r="E26" s="89" t="s">
        <v>204</v>
      </c>
      <c r="F26" s="452">
        <f ca="1">Data!S25</f>
        <v>0</v>
      </c>
      <c r="G26" s="453"/>
      <c r="H26" s="465">
        <f ca="1">Data!S76</f>
        <v>0</v>
      </c>
      <c r="I26" s="466"/>
      <c r="J26" s="477">
        <f ca="1">Data!T127</f>
        <v>0</v>
      </c>
      <c r="K26" s="479"/>
      <c r="L26" s="456" t="str">
        <f ca="1">Data!T178</f>
        <v>No data</v>
      </c>
      <c r="M26" s="458"/>
      <c r="N26" s="109"/>
    </row>
    <row r="27" spans="2:14" ht="27.75" customHeight="1" thickTop="1" thickBot="1" x14ac:dyDescent="0.4">
      <c r="B27" s="50"/>
      <c r="C27" s="455" t="s">
        <v>4</v>
      </c>
      <c r="D27" s="455" t="s">
        <v>13</v>
      </c>
      <c r="E27" s="472"/>
      <c r="F27" s="473">
        <f ca="1">Data!U25</f>
        <v>0.05</v>
      </c>
      <c r="G27" s="474"/>
      <c r="H27" s="475">
        <f ca="1">Data!U76</f>
        <v>0.08</v>
      </c>
      <c r="I27" s="476"/>
      <c r="J27" s="468">
        <f ca="1">Data!U127</f>
        <v>0</v>
      </c>
      <c r="K27" s="469"/>
      <c r="L27" s="470" t="str">
        <f ca="1">Data!U178</f>
        <v>No data</v>
      </c>
      <c r="M27" s="471"/>
      <c r="N27" s="111"/>
    </row>
    <row r="28" spans="2:14" ht="24" customHeight="1" thickTop="1" thickBot="1" x14ac:dyDescent="0.4">
      <c r="B28" s="50"/>
      <c r="C28" s="455"/>
      <c r="D28" s="455" t="s">
        <v>14</v>
      </c>
      <c r="E28" s="472"/>
      <c r="F28" s="473">
        <f ca="1">Data!V25</f>
        <v>0</v>
      </c>
      <c r="G28" s="474"/>
      <c r="H28" s="475">
        <f ca="1">Data!V76</f>
        <v>0</v>
      </c>
      <c r="I28" s="476"/>
      <c r="J28" s="468">
        <f ca="1">Data!V127</f>
        <v>0.09</v>
      </c>
      <c r="K28" s="469"/>
      <c r="L28" s="470" t="str">
        <f ca="1">Data!V178</f>
        <v>No data</v>
      </c>
      <c r="M28" s="471"/>
      <c r="N28" s="111"/>
    </row>
    <row r="29" spans="2:14" ht="15" thickTop="1" x14ac:dyDescent="0.35">
      <c r="B29" s="50"/>
      <c r="N29" s="50"/>
    </row>
    <row r="30" spans="2:14" x14ac:dyDescent="0.35">
      <c r="C30" s="16"/>
      <c r="D30" s="16"/>
      <c r="E30" s="16"/>
      <c r="F30" s="17"/>
      <c r="G30" s="49"/>
      <c r="H30" s="17"/>
      <c r="I30" s="17"/>
      <c r="J30" s="17"/>
      <c r="K30" s="17"/>
      <c r="L30" s="17"/>
      <c r="M30" s="17"/>
    </row>
    <row r="31" spans="2:14" x14ac:dyDescent="0.35">
      <c r="C31" s="467" t="s">
        <v>49</v>
      </c>
      <c r="D31" s="467"/>
      <c r="E31" s="467"/>
      <c r="F31" s="467"/>
      <c r="G31" s="94"/>
      <c r="H31" s="17"/>
      <c r="I31" s="17"/>
      <c r="J31" s="17"/>
      <c r="K31" s="17"/>
      <c r="L31" s="17"/>
      <c r="M31" s="17"/>
    </row>
    <row r="32" spans="2:14" x14ac:dyDescent="0.35">
      <c r="C32" s="16"/>
      <c r="D32" s="16"/>
      <c r="E32" s="16"/>
      <c r="F32" s="17"/>
      <c r="G32" s="49"/>
      <c r="H32" s="17"/>
      <c r="I32" s="17"/>
      <c r="J32" s="17"/>
      <c r="K32" s="17"/>
      <c r="L32" s="17"/>
      <c r="M32" s="17"/>
    </row>
    <row r="33" spans="3:13" x14ac:dyDescent="0.35">
      <c r="C33" s="16"/>
      <c r="D33" s="16"/>
      <c r="E33" s="16"/>
      <c r="F33" s="17"/>
      <c r="G33" s="49"/>
      <c r="H33" s="17"/>
      <c r="I33" s="17"/>
      <c r="J33" s="17"/>
      <c r="K33" s="17"/>
      <c r="L33" s="17"/>
      <c r="M33" s="17"/>
    </row>
    <row r="34" spans="3:13" x14ac:dyDescent="0.35">
      <c r="C34" s="16"/>
      <c r="D34" s="16"/>
      <c r="E34" s="16"/>
      <c r="F34" s="17"/>
      <c r="G34" s="49"/>
      <c r="H34" s="17"/>
      <c r="I34" s="17"/>
      <c r="J34" s="17"/>
      <c r="K34" s="17"/>
      <c r="L34" s="17"/>
      <c r="M34" s="17"/>
    </row>
    <row r="35" spans="3:13" x14ac:dyDescent="0.35">
      <c r="C35" s="16"/>
      <c r="D35" s="16"/>
      <c r="E35" s="16"/>
      <c r="F35" s="17"/>
      <c r="G35" s="49"/>
      <c r="H35" s="17"/>
      <c r="I35" s="17"/>
      <c r="J35" s="17"/>
      <c r="K35" s="17"/>
      <c r="L35" s="17"/>
      <c r="M35" s="17"/>
    </row>
    <row r="36" spans="3:13" x14ac:dyDescent="0.35">
      <c r="C36" s="16"/>
      <c r="D36" s="16"/>
      <c r="E36" s="16"/>
      <c r="F36" s="17"/>
      <c r="G36" s="49"/>
      <c r="H36" s="17"/>
      <c r="I36" s="17"/>
      <c r="J36" s="17"/>
      <c r="K36" s="17"/>
      <c r="L36" s="17"/>
      <c r="M36" s="17"/>
    </row>
    <row r="37" spans="3:13" x14ac:dyDescent="0.35">
      <c r="C37" s="16"/>
      <c r="D37" s="16"/>
      <c r="E37" s="16"/>
      <c r="F37" s="17"/>
      <c r="G37" s="49"/>
      <c r="H37" s="17"/>
      <c r="I37" s="17"/>
      <c r="J37" s="17"/>
      <c r="K37" s="17"/>
      <c r="L37" s="17"/>
      <c r="M37" s="17"/>
    </row>
    <row r="38" spans="3:13" x14ac:dyDescent="0.35">
      <c r="C38" s="16"/>
      <c r="D38" s="16"/>
      <c r="E38" s="16"/>
      <c r="F38" s="17"/>
      <c r="G38" s="49"/>
      <c r="H38" s="17"/>
      <c r="I38" s="17"/>
      <c r="J38" s="17"/>
      <c r="K38" s="17"/>
      <c r="L38" s="17"/>
      <c r="M38" s="17"/>
    </row>
    <row r="39" spans="3:13" x14ac:dyDescent="0.35">
      <c r="C39" s="16"/>
      <c r="D39" s="16"/>
      <c r="E39" s="16"/>
      <c r="F39" s="17"/>
      <c r="G39" s="49"/>
      <c r="H39" s="17"/>
      <c r="I39" s="17"/>
      <c r="J39" s="17"/>
      <c r="K39" s="17"/>
      <c r="L39" s="17"/>
      <c r="M39" s="17"/>
    </row>
    <row r="40" spans="3:13" x14ac:dyDescent="0.35">
      <c r="C40" s="16"/>
      <c r="D40" s="16"/>
      <c r="E40" s="16"/>
      <c r="F40" s="17"/>
      <c r="G40" s="49"/>
      <c r="H40" s="17"/>
      <c r="I40" s="17"/>
      <c r="J40" s="17"/>
      <c r="K40" s="17"/>
      <c r="L40" s="17"/>
      <c r="M40" s="17"/>
    </row>
    <row r="41" spans="3:13" x14ac:dyDescent="0.35">
      <c r="C41" s="16"/>
      <c r="D41" s="16"/>
      <c r="E41" s="16"/>
      <c r="F41" s="17"/>
      <c r="G41" s="49"/>
      <c r="H41" s="17"/>
      <c r="I41" s="17"/>
      <c r="J41" s="17"/>
      <c r="K41" s="17"/>
      <c r="L41" s="17"/>
      <c r="M41" s="17"/>
    </row>
    <row r="42" spans="3:13" x14ac:dyDescent="0.35">
      <c r="C42" s="16"/>
      <c r="D42" s="16"/>
      <c r="E42" s="16"/>
      <c r="F42" s="17"/>
      <c r="G42" s="49"/>
      <c r="H42" s="17"/>
      <c r="I42" s="17"/>
      <c r="J42" s="17"/>
      <c r="K42" s="17"/>
      <c r="L42" s="17"/>
      <c r="M42" s="17"/>
    </row>
    <row r="43" spans="3:13" x14ac:dyDescent="0.35">
      <c r="C43" s="16"/>
      <c r="D43" s="16"/>
      <c r="E43" s="16"/>
      <c r="F43" s="17"/>
      <c r="G43" s="49"/>
      <c r="H43" s="17"/>
      <c r="I43" s="17"/>
      <c r="J43" s="17"/>
      <c r="K43" s="17"/>
      <c r="L43" s="17"/>
      <c r="M43" s="17"/>
    </row>
    <row r="44" spans="3:13" x14ac:dyDescent="0.35">
      <c r="C44" s="16"/>
      <c r="D44" s="16"/>
      <c r="E44" s="16"/>
      <c r="F44" s="17"/>
      <c r="G44" s="49"/>
      <c r="H44" s="17"/>
      <c r="I44" s="17"/>
      <c r="J44" s="17"/>
      <c r="K44" s="17"/>
      <c r="L44" s="17"/>
      <c r="M44" s="17"/>
    </row>
    <row r="45" spans="3:13" x14ac:dyDescent="0.35">
      <c r="C45" s="16"/>
      <c r="D45" s="16"/>
      <c r="E45" s="16"/>
      <c r="F45" s="17"/>
      <c r="G45" s="49"/>
      <c r="H45" s="17"/>
      <c r="I45" s="17"/>
      <c r="J45" s="17"/>
      <c r="K45" s="17"/>
      <c r="L45" s="17"/>
      <c r="M45" s="17"/>
    </row>
    <row r="46" spans="3:13" x14ac:dyDescent="0.35">
      <c r="C46" s="16"/>
      <c r="D46" s="16"/>
      <c r="E46" s="16"/>
      <c r="F46" s="17"/>
      <c r="G46" s="49"/>
      <c r="H46" s="17"/>
      <c r="I46" s="17"/>
      <c r="J46" s="17"/>
      <c r="K46" s="17"/>
      <c r="L46" s="17"/>
      <c r="M46" s="17"/>
    </row>
    <row r="47" spans="3:13" x14ac:dyDescent="0.35">
      <c r="C47" s="16"/>
      <c r="D47" s="16"/>
      <c r="E47" s="16"/>
      <c r="F47" s="17"/>
      <c r="G47" s="49"/>
      <c r="H47" s="17"/>
      <c r="I47" s="17"/>
      <c r="J47" s="17"/>
      <c r="K47" s="17"/>
      <c r="L47" s="17"/>
      <c r="M47" s="17"/>
    </row>
    <row r="48" spans="3:13" x14ac:dyDescent="0.35">
      <c r="C48" s="16"/>
      <c r="D48" s="16"/>
      <c r="E48" s="16"/>
      <c r="F48" s="17"/>
      <c r="G48" s="49"/>
      <c r="H48" s="17"/>
      <c r="I48" s="17"/>
      <c r="J48" s="17"/>
      <c r="K48" s="17"/>
      <c r="L48" s="17"/>
      <c r="M48" s="17"/>
    </row>
    <row r="49" spans="3:13" x14ac:dyDescent="0.35">
      <c r="C49" s="16"/>
      <c r="D49" s="16"/>
      <c r="E49" s="16"/>
      <c r="F49" s="17"/>
      <c r="G49" s="49"/>
      <c r="H49" s="17"/>
      <c r="I49" s="17"/>
      <c r="J49" s="17"/>
      <c r="K49" s="17"/>
      <c r="L49" s="17"/>
      <c r="M49" s="17"/>
    </row>
    <row r="50" spans="3:13" x14ac:dyDescent="0.35">
      <c r="C50" s="16"/>
      <c r="D50" s="16"/>
      <c r="E50" s="16"/>
      <c r="F50" s="17"/>
      <c r="G50" s="49"/>
      <c r="H50" s="17"/>
      <c r="I50" s="17"/>
      <c r="J50" s="17"/>
      <c r="K50" s="17"/>
      <c r="L50" s="17"/>
      <c r="M50" s="17"/>
    </row>
    <row r="51" spans="3:13" x14ac:dyDescent="0.35">
      <c r="C51" s="16"/>
      <c r="D51" s="16"/>
      <c r="E51" s="16"/>
      <c r="F51" s="17"/>
      <c r="G51" s="49"/>
      <c r="H51" s="17"/>
      <c r="I51" s="17"/>
      <c r="J51" s="17"/>
      <c r="K51" s="17"/>
      <c r="L51" s="17"/>
      <c r="M51" s="17"/>
    </row>
    <row r="52" spans="3:13" ht="22.5" customHeight="1" x14ac:dyDescent="0.35">
      <c r="C52" s="106" t="s">
        <v>123</v>
      </c>
      <c r="D52" s="16"/>
      <c r="E52" s="16"/>
      <c r="F52" s="17"/>
      <c r="G52" s="49"/>
      <c r="H52" s="17"/>
      <c r="I52" s="17"/>
      <c r="J52" s="17"/>
      <c r="K52" s="17"/>
      <c r="L52" s="17"/>
      <c r="M52" s="17"/>
    </row>
    <row r="53" spans="3:13" x14ac:dyDescent="0.35">
      <c r="C53" s="104"/>
      <c r="D53" s="104"/>
      <c r="E53" s="104"/>
      <c r="F53" s="95"/>
      <c r="G53" s="105"/>
      <c r="H53" s="95"/>
      <c r="I53" s="95"/>
      <c r="J53" s="95"/>
      <c r="K53" s="95"/>
      <c r="L53" s="95"/>
      <c r="M53" s="95"/>
    </row>
    <row r="54" spans="3:13" x14ac:dyDescent="0.35">
      <c r="C54" s="104"/>
      <c r="D54" s="104"/>
      <c r="E54" s="104"/>
      <c r="F54" s="95"/>
      <c r="G54" s="105"/>
      <c r="H54" s="95"/>
      <c r="I54" s="95"/>
      <c r="J54" s="95"/>
      <c r="K54" s="95"/>
      <c r="L54" s="95"/>
      <c r="M54" s="95"/>
    </row>
    <row r="55" spans="3:13" x14ac:dyDescent="0.35">
      <c r="C55" s="104"/>
      <c r="D55" s="104"/>
      <c r="E55" s="104"/>
      <c r="F55" s="95"/>
      <c r="G55" s="105"/>
      <c r="H55" s="95"/>
      <c r="I55" s="95"/>
      <c r="J55" s="95"/>
      <c r="K55" s="95"/>
      <c r="L55" s="95"/>
      <c r="M55" s="95"/>
    </row>
    <row r="56" spans="3:13" x14ac:dyDescent="0.35">
      <c r="C56" s="104"/>
      <c r="D56" s="104"/>
      <c r="E56" s="104"/>
      <c r="F56" s="95"/>
      <c r="G56" s="105"/>
      <c r="H56" s="95"/>
      <c r="I56" s="95"/>
      <c r="J56" s="95"/>
      <c r="K56" s="95"/>
      <c r="L56" s="95"/>
      <c r="M56" s="95"/>
    </row>
    <row r="57" spans="3:13" x14ac:dyDescent="0.35">
      <c r="C57" s="104"/>
      <c r="D57" s="104"/>
      <c r="E57" s="104"/>
      <c r="F57" s="95"/>
      <c r="G57" s="105"/>
      <c r="H57" s="95"/>
      <c r="I57" s="95"/>
      <c r="J57" s="95"/>
      <c r="K57" s="95"/>
      <c r="L57" s="95"/>
      <c r="M57" s="95"/>
    </row>
    <row r="58" spans="3:13" x14ac:dyDescent="0.35">
      <c r="C58" s="104"/>
      <c r="D58" s="104"/>
      <c r="E58" s="104"/>
      <c r="F58" s="95"/>
      <c r="G58" s="105"/>
      <c r="H58" s="95"/>
      <c r="I58" s="95"/>
      <c r="J58" s="95"/>
      <c r="K58" s="95"/>
      <c r="L58" s="95"/>
      <c r="M58" s="95"/>
    </row>
    <row r="59" spans="3:13" x14ac:dyDescent="0.35">
      <c r="C59" s="104"/>
      <c r="D59" s="104"/>
      <c r="E59" s="104"/>
      <c r="F59" s="95"/>
      <c r="G59" s="105"/>
      <c r="H59" s="95"/>
      <c r="I59" s="95"/>
      <c r="J59" s="95"/>
      <c r="K59" s="95"/>
      <c r="L59" s="95"/>
      <c r="M59" s="95"/>
    </row>
    <row r="60" spans="3:13" x14ac:dyDescent="0.35">
      <c r="C60" s="104"/>
      <c r="D60" s="104"/>
      <c r="E60" s="104"/>
      <c r="F60" s="95"/>
      <c r="G60" s="105"/>
      <c r="H60" s="95"/>
      <c r="I60" s="95"/>
      <c r="J60" s="95"/>
      <c r="K60" s="95"/>
      <c r="L60" s="95"/>
      <c r="M60" s="95"/>
    </row>
    <row r="61" spans="3:13" x14ac:dyDescent="0.35">
      <c r="C61" s="104"/>
      <c r="D61" s="104"/>
      <c r="E61" s="104"/>
      <c r="F61" s="95"/>
      <c r="G61" s="105"/>
      <c r="H61" s="95"/>
      <c r="I61" s="95"/>
      <c r="J61" s="95"/>
      <c r="K61" s="95"/>
      <c r="L61" s="95"/>
      <c r="M61" s="95"/>
    </row>
    <row r="62" spans="3:13" x14ac:dyDescent="0.35">
      <c r="C62" s="104"/>
      <c r="D62" s="104"/>
      <c r="E62" s="104"/>
      <c r="F62" s="95"/>
      <c r="G62" s="105"/>
      <c r="H62" s="95"/>
      <c r="I62" s="95"/>
      <c r="J62" s="95"/>
      <c r="K62" s="95"/>
      <c r="L62" s="95"/>
      <c r="M62" s="95"/>
    </row>
    <row r="63" spans="3:13" x14ac:dyDescent="0.35">
      <c r="C63" s="104"/>
      <c r="D63" s="104"/>
      <c r="E63" s="104"/>
      <c r="F63" s="95"/>
      <c r="G63" s="105"/>
      <c r="H63" s="95"/>
      <c r="I63" s="95"/>
      <c r="J63" s="95"/>
      <c r="K63" s="95"/>
      <c r="L63" s="95"/>
      <c r="M63" s="95"/>
    </row>
    <row r="64" spans="3:13" x14ac:dyDescent="0.35">
      <c r="C64" s="104"/>
      <c r="D64" s="104"/>
      <c r="E64" s="104"/>
      <c r="F64" s="95"/>
      <c r="G64" s="105"/>
      <c r="H64" s="95"/>
      <c r="I64" s="95"/>
      <c r="J64" s="95"/>
      <c r="K64" s="95"/>
      <c r="L64" s="95"/>
      <c r="M64" s="95"/>
    </row>
    <row r="65" spans="3:13" x14ac:dyDescent="0.35">
      <c r="C65" s="104"/>
      <c r="D65" s="104"/>
      <c r="E65" s="104"/>
      <c r="F65" s="95"/>
      <c r="G65" s="105"/>
      <c r="H65" s="95"/>
      <c r="I65" s="95"/>
      <c r="J65" s="95"/>
      <c r="K65" s="95"/>
      <c r="L65" s="95"/>
      <c r="M65" s="95"/>
    </row>
    <row r="66" spans="3:13" x14ac:dyDescent="0.35">
      <c r="C66" s="104"/>
      <c r="D66" s="104"/>
      <c r="E66" s="104"/>
      <c r="F66" s="95"/>
      <c r="G66" s="105"/>
      <c r="H66" s="95"/>
      <c r="I66" s="95"/>
      <c r="J66" s="95"/>
      <c r="K66" s="95"/>
      <c r="L66" s="95"/>
      <c r="M66" s="95"/>
    </row>
    <row r="67" spans="3:13" x14ac:dyDescent="0.35">
      <c r="C67" s="104"/>
      <c r="D67" s="104"/>
      <c r="E67" s="104"/>
      <c r="F67" s="95"/>
      <c r="G67" s="105"/>
      <c r="H67" s="95"/>
      <c r="I67" s="95"/>
      <c r="J67" s="95"/>
      <c r="K67" s="95"/>
      <c r="L67" s="95"/>
      <c r="M67" s="95"/>
    </row>
    <row r="68" spans="3:13" x14ac:dyDescent="0.35">
      <c r="C68" s="16"/>
      <c r="D68" s="16"/>
      <c r="E68" s="16"/>
      <c r="F68" s="17"/>
      <c r="G68" s="49"/>
      <c r="H68" s="17"/>
      <c r="I68" s="17"/>
      <c r="J68" s="17"/>
      <c r="K68" s="17"/>
      <c r="L68" s="17"/>
      <c r="M68" s="17"/>
    </row>
    <row r="69" spans="3:13" x14ac:dyDescent="0.35">
      <c r="C69" s="106" t="s">
        <v>4</v>
      </c>
      <c r="D69" s="16"/>
      <c r="E69" s="16"/>
      <c r="F69" s="17"/>
      <c r="G69" s="49"/>
      <c r="H69" s="17"/>
      <c r="I69" s="17"/>
      <c r="J69" s="17"/>
      <c r="K69" s="17"/>
      <c r="L69" s="17"/>
      <c r="M69" s="17"/>
    </row>
    <row r="70" spans="3:13" x14ac:dyDescent="0.35">
      <c r="C70" s="16"/>
      <c r="D70" s="16"/>
      <c r="E70" s="16"/>
      <c r="F70" s="17"/>
      <c r="G70" s="49"/>
      <c r="H70" s="17"/>
      <c r="I70" s="17"/>
      <c r="J70" s="17"/>
      <c r="K70" s="17"/>
      <c r="L70" s="17"/>
      <c r="M70" s="17"/>
    </row>
    <row r="71" spans="3:13" x14ac:dyDescent="0.35">
      <c r="C71" s="16"/>
      <c r="D71" s="16"/>
      <c r="E71" s="16"/>
      <c r="F71" s="17"/>
      <c r="G71" s="49"/>
      <c r="H71" s="17"/>
      <c r="I71" s="17"/>
      <c r="J71" s="17"/>
      <c r="K71" s="17"/>
      <c r="L71" s="17"/>
      <c r="M71" s="17"/>
    </row>
    <row r="72" spans="3:13" x14ac:dyDescent="0.35">
      <c r="C72" s="16"/>
      <c r="D72" s="16"/>
      <c r="E72" s="16"/>
      <c r="F72" s="17"/>
      <c r="G72" s="49"/>
      <c r="H72" s="17"/>
      <c r="I72" s="17"/>
      <c r="J72" s="17"/>
      <c r="K72" s="17"/>
      <c r="L72" s="17"/>
      <c r="M72" s="17"/>
    </row>
    <row r="73" spans="3:13" x14ac:dyDescent="0.35">
      <c r="C73" s="16"/>
      <c r="D73" s="16"/>
      <c r="E73" s="16"/>
      <c r="F73" s="17"/>
      <c r="G73" s="49"/>
      <c r="H73" s="17"/>
      <c r="I73" s="17"/>
      <c r="J73" s="17"/>
      <c r="K73" s="17"/>
      <c r="L73" s="17"/>
      <c r="M73" s="17"/>
    </row>
    <row r="74" spans="3:13" x14ac:dyDescent="0.35">
      <c r="C74" s="16"/>
      <c r="D74" s="16"/>
      <c r="E74" s="16"/>
      <c r="F74" s="17"/>
      <c r="G74" s="49"/>
      <c r="H74" s="17"/>
      <c r="I74" s="17"/>
      <c r="J74" s="17"/>
      <c r="K74" s="17"/>
      <c r="L74" s="17"/>
      <c r="M74" s="17"/>
    </row>
    <row r="75" spans="3:13" x14ac:dyDescent="0.35">
      <c r="C75" s="16"/>
      <c r="D75" s="16"/>
      <c r="E75" s="16"/>
      <c r="F75" s="17"/>
      <c r="G75" s="49"/>
      <c r="H75" s="17"/>
      <c r="I75" s="17"/>
      <c r="J75" s="17"/>
      <c r="K75" s="17"/>
      <c r="L75" s="17"/>
      <c r="M75" s="17"/>
    </row>
    <row r="76" spans="3:13" x14ac:dyDescent="0.35">
      <c r="C76" s="16"/>
      <c r="D76" s="16"/>
      <c r="E76" s="16"/>
      <c r="F76" s="17"/>
      <c r="G76" s="49"/>
      <c r="H76" s="17"/>
      <c r="I76" s="17"/>
      <c r="J76" s="17"/>
      <c r="K76" s="17"/>
      <c r="L76" s="17"/>
      <c r="M76" s="17"/>
    </row>
    <row r="77" spans="3:13" x14ac:dyDescent="0.35">
      <c r="C77" s="16"/>
      <c r="D77" s="16"/>
      <c r="E77" s="16"/>
      <c r="F77" s="17"/>
      <c r="G77" s="49"/>
      <c r="H77" s="17"/>
      <c r="I77" s="17"/>
      <c r="J77" s="17"/>
      <c r="K77" s="17"/>
      <c r="L77" s="17"/>
      <c r="M77" s="17"/>
    </row>
    <row r="78" spans="3:13" x14ac:dyDescent="0.35">
      <c r="C78" s="16"/>
      <c r="D78" s="16"/>
      <c r="E78" s="16"/>
      <c r="F78" s="17"/>
      <c r="G78" s="49"/>
      <c r="H78" s="17"/>
      <c r="I78" s="17"/>
      <c r="J78" s="17"/>
      <c r="K78" s="17"/>
      <c r="L78" s="17"/>
      <c r="M78" s="17"/>
    </row>
    <row r="79" spans="3:13" x14ac:dyDescent="0.35">
      <c r="C79" s="16"/>
      <c r="D79" s="16"/>
      <c r="E79" s="16"/>
      <c r="F79" s="17"/>
      <c r="G79" s="49"/>
      <c r="H79" s="17"/>
      <c r="I79" s="17"/>
      <c r="J79" s="17"/>
      <c r="K79" s="17"/>
      <c r="L79" s="17"/>
      <c r="M79" s="17"/>
    </row>
    <row r="80" spans="3:13" x14ac:dyDescent="0.35">
      <c r="C80" s="16"/>
      <c r="D80" s="16"/>
      <c r="E80" s="16"/>
      <c r="F80" s="17"/>
      <c r="G80" s="49"/>
      <c r="H80" s="17"/>
      <c r="I80" s="17"/>
      <c r="J80" s="17"/>
      <c r="K80" s="17"/>
      <c r="L80" s="17"/>
      <c r="M80" s="17"/>
    </row>
    <row r="81" spans="3:13" x14ac:dyDescent="0.35">
      <c r="C81" s="16"/>
      <c r="D81" s="16"/>
      <c r="E81" s="16"/>
      <c r="F81" s="17"/>
      <c r="G81" s="49"/>
      <c r="H81" s="17"/>
      <c r="I81" s="17"/>
      <c r="J81" s="17"/>
      <c r="K81" s="17"/>
      <c r="L81" s="17"/>
      <c r="M81" s="17"/>
    </row>
    <row r="82" spans="3:13" x14ac:dyDescent="0.35">
      <c r="C82" s="16"/>
      <c r="D82" s="16"/>
      <c r="E82" s="16"/>
      <c r="F82" s="17"/>
      <c r="G82" s="49"/>
      <c r="H82" s="17"/>
      <c r="I82" s="17"/>
      <c r="J82" s="17"/>
      <c r="K82" s="17"/>
      <c r="L82" s="17"/>
      <c r="M82" s="17"/>
    </row>
    <row r="83" spans="3:13" x14ac:dyDescent="0.35">
      <c r="C83" s="16"/>
      <c r="D83" s="16"/>
      <c r="E83" s="16"/>
      <c r="F83" s="17"/>
      <c r="G83" s="49"/>
      <c r="H83" s="17"/>
      <c r="I83" s="17"/>
      <c r="J83" s="17"/>
      <c r="K83" s="17"/>
      <c r="L83" s="17"/>
      <c r="M83" s="17"/>
    </row>
    <row r="84" spans="3:13" x14ac:dyDescent="0.35">
      <c r="C84" s="16"/>
      <c r="D84" s="16"/>
      <c r="E84" s="16"/>
      <c r="F84" s="17"/>
      <c r="G84" s="49"/>
      <c r="H84" s="17"/>
      <c r="I84" s="17"/>
      <c r="J84" s="17"/>
      <c r="K84" s="17"/>
      <c r="L84" s="17"/>
      <c r="M84" s="17"/>
    </row>
    <row r="85" spans="3:13" x14ac:dyDescent="0.35">
      <c r="C85" s="16"/>
      <c r="D85" s="16"/>
      <c r="E85" s="16"/>
      <c r="F85" s="17"/>
      <c r="G85" s="49"/>
      <c r="H85" s="17"/>
      <c r="I85" s="17"/>
      <c r="J85" s="17"/>
      <c r="K85" s="17"/>
      <c r="L85" s="17"/>
      <c r="M85" s="17"/>
    </row>
    <row r="86" spans="3:13" x14ac:dyDescent="0.35">
      <c r="C86" s="16"/>
      <c r="D86" s="16"/>
      <c r="E86" s="16"/>
      <c r="F86" s="17"/>
      <c r="G86" s="49"/>
      <c r="H86" s="17"/>
      <c r="I86" s="17"/>
      <c r="J86" s="17"/>
      <c r="K86" s="17"/>
      <c r="L86" s="17"/>
      <c r="M86" s="17"/>
    </row>
    <row r="87" spans="3:13" x14ac:dyDescent="0.35">
      <c r="C87" s="16"/>
      <c r="D87" s="16"/>
      <c r="E87" s="16"/>
      <c r="F87" s="17"/>
      <c r="G87" s="49"/>
      <c r="H87" s="17"/>
      <c r="I87" s="17"/>
      <c r="J87" s="17"/>
      <c r="K87" s="17"/>
      <c r="L87" s="17"/>
      <c r="M87" s="17"/>
    </row>
    <row r="88" spans="3:13" x14ac:dyDescent="0.35">
      <c r="C88" s="16"/>
      <c r="D88" s="16"/>
      <c r="E88" s="16"/>
      <c r="F88" s="17"/>
      <c r="G88" s="49"/>
      <c r="H88" s="17"/>
      <c r="I88" s="17"/>
      <c r="J88" s="17"/>
      <c r="K88" s="17"/>
      <c r="L88" s="17"/>
      <c r="M88" s="17"/>
    </row>
    <row r="89" spans="3:13" x14ac:dyDescent="0.35">
      <c r="C89" s="16"/>
      <c r="D89" s="16"/>
      <c r="E89" s="16"/>
      <c r="F89" s="17"/>
      <c r="G89" s="49"/>
      <c r="H89" s="17"/>
      <c r="I89" s="17"/>
      <c r="J89" s="17"/>
      <c r="K89" s="17"/>
      <c r="L89" s="17"/>
      <c r="M89" s="17"/>
    </row>
    <row r="90" spans="3:13" x14ac:dyDescent="0.35">
      <c r="C90" s="16"/>
      <c r="D90" s="16"/>
      <c r="E90" s="16"/>
      <c r="F90" s="17"/>
      <c r="G90" s="49"/>
      <c r="H90" s="17"/>
      <c r="I90" s="17"/>
      <c r="J90" s="17"/>
      <c r="K90" s="17"/>
      <c r="L90" s="17"/>
      <c r="M90" s="17"/>
    </row>
    <row r="91" spans="3:13" x14ac:dyDescent="0.35">
      <c r="C91" s="16"/>
      <c r="D91" s="16"/>
      <c r="E91" s="16"/>
      <c r="F91" s="17"/>
      <c r="G91" s="49"/>
      <c r="H91" s="17"/>
      <c r="I91" s="17"/>
      <c r="J91" s="17"/>
      <c r="K91" s="17"/>
      <c r="L91" s="17"/>
      <c r="M91" s="17"/>
    </row>
    <row r="92" spans="3:13" s="50" customFormat="1" x14ac:dyDescent="0.35">
      <c r="C92" s="112"/>
      <c r="D92" s="112"/>
      <c r="E92" s="112"/>
      <c r="G92" s="113"/>
    </row>
    <row r="93" spans="3:13" s="50" customFormat="1" x14ac:dyDescent="0.35">
      <c r="C93" s="112"/>
      <c r="D93" s="112"/>
      <c r="E93" s="112"/>
      <c r="G93" s="113"/>
    </row>
  </sheetData>
  <sheetProtection algorithmName="SHA-512" hashValue="ygJQo9G88p+bpQEu9sQ/wWIolQ1j1hPLUqNJ/XDpU12gGzt7EAzh8+GoY6IJMGm+iV6zSRmT9buhfdL6QF2tUQ==" saltValue="vGRLhl+2iWpIq6l6SntoHw==" spinCount="100000" sheet="1" objects="1" scenarios="1" selectLockedCells="1"/>
  <mergeCells count="97">
    <mergeCell ref="M15:M16"/>
    <mergeCell ref="M1:O1"/>
    <mergeCell ref="J27:K27"/>
    <mergeCell ref="L27:M27"/>
    <mergeCell ref="D28:E28"/>
    <mergeCell ref="F28:G28"/>
    <mergeCell ref="H28:I28"/>
    <mergeCell ref="J28:K28"/>
    <mergeCell ref="L28:M28"/>
    <mergeCell ref="H26:I26"/>
    <mergeCell ref="D27:E27"/>
    <mergeCell ref="F27:G27"/>
    <mergeCell ref="H27:I27"/>
    <mergeCell ref="M22:M23"/>
    <mergeCell ref="J19:K19"/>
    <mergeCell ref="J26:K26"/>
    <mergeCell ref="L10:M12"/>
    <mergeCell ref="J22:J23"/>
    <mergeCell ref="K22:K23"/>
    <mergeCell ref="L22:L23"/>
    <mergeCell ref="C31:F31"/>
    <mergeCell ref="J20:J21"/>
    <mergeCell ref="K20:K21"/>
    <mergeCell ref="L20:L21"/>
    <mergeCell ref="M20:M21"/>
    <mergeCell ref="H17:H18"/>
    <mergeCell ref="I17:I18"/>
    <mergeCell ref="J17:J18"/>
    <mergeCell ref="K17:K18"/>
    <mergeCell ref="L17:L18"/>
    <mergeCell ref="H15:H16"/>
    <mergeCell ref="I15:I16"/>
    <mergeCell ref="C1:D1"/>
    <mergeCell ref="C27:C28"/>
    <mergeCell ref="L19:M19"/>
    <mergeCell ref="L26:M26"/>
    <mergeCell ref="J24:J25"/>
    <mergeCell ref="K24:K25"/>
    <mergeCell ref="L24:L25"/>
    <mergeCell ref="M24:M25"/>
    <mergeCell ref="M13:M14"/>
    <mergeCell ref="J15:J16"/>
    <mergeCell ref="K15:K16"/>
    <mergeCell ref="L15:L16"/>
    <mergeCell ref="M17:M18"/>
    <mergeCell ref="F19:G19"/>
    <mergeCell ref="H19:I19"/>
    <mergeCell ref="I20:I21"/>
    <mergeCell ref="D20:D26"/>
    <mergeCell ref="E20:E21"/>
    <mergeCell ref="F20:F21"/>
    <mergeCell ref="G20:G21"/>
    <mergeCell ref="H20:H21"/>
    <mergeCell ref="E22:E23"/>
    <mergeCell ref="F22:F23"/>
    <mergeCell ref="G22:G23"/>
    <mergeCell ref="H24:H25"/>
    <mergeCell ref="F26:G26"/>
    <mergeCell ref="E24:E25"/>
    <mergeCell ref="F24:F25"/>
    <mergeCell ref="G24:G25"/>
    <mergeCell ref="I24:I25"/>
    <mergeCell ref="H22:H23"/>
    <mergeCell ref="I22:I23"/>
    <mergeCell ref="H13:H14"/>
    <mergeCell ref="I13:I14"/>
    <mergeCell ref="H10:I12"/>
    <mergeCell ref="J7:K9"/>
    <mergeCell ref="J10:K12"/>
    <mergeCell ref="E15:E16"/>
    <mergeCell ref="D13:D19"/>
    <mergeCell ref="E13:E14"/>
    <mergeCell ref="F13:F14"/>
    <mergeCell ref="G13:G14"/>
    <mergeCell ref="E17:E18"/>
    <mergeCell ref="F17:F18"/>
    <mergeCell ref="G17:G18"/>
    <mergeCell ref="F15:F16"/>
    <mergeCell ref="G15:G16"/>
    <mergeCell ref="J13:J14"/>
    <mergeCell ref="K13:K14"/>
    <mergeCell ref="G3:K4"/>
    <mergeCell ref="C3:C4"/>
    <mergeCell ref="L13:L14"/>
    <mergeCell ref="C13:C26"/>
    <mergeCell ref="C6:E6"/>
    <mergeCell ref="F6:G6"/>
    <mergeCell ref="H6:I6"/>
    <mergeCell ref="J6:K6"/>
    <mergeCell ref="L6:M6"/>
    <mergeCell ref="L7:M9"/>
    <mergeCell ref="C7:C12"/>
    <mergeCell ref="D7:E9"/>
    <mergeCell ref="F7:G9"/>
    <mergeCell ref="H7:I9"/>
    <mergeCell ref="D10:E12"/>
    <mergeCell ref="F10:G12"/>
  </mergeCells>
  <conditionalFormatting sqref="G3:K4">
    <cfRule type="expression" dxfId="1" priority="1">
      <formula>OR(AdultChoice=2,AdultChoice=11)</formula>
    </cfRule>
  </conditionalFormatting>
  <hyperlinks>
    <hyperlink ref="M1:O1" location="'Front Page'!A1" display="Return to Contents" xr:uid="{00000000-0004-0000-0E00-000000000000}"/>
  </hyperlinks>
  <pageMargins left="0.7" right="0.7" top="0.75" bottom="0.75" header="0.3" footer="0.3"/>
  <pageSetup paperSize="9" orientation="portrait" r:id="rId1"/>
  <ignoredErrors>
    <ignoredError sqref="H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8</xdr:col>
                    <xdr:colOff>527050</xdr:colOff>
                    <xdr:row>29</xdr:row>
                    <xdr:rowOff>107950</xdr:rowOff>
                  </from>
                  <to>
                    <xdr:col>12</xdr:col>
                    <xdr:colOff>266700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361950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Q92"/>
  <sheetViews>
    <sheetView showGridLines="0" workbookViewId="0">
      <selection activeCell="L1" sqref="L1:M1"/>
    </sheetView>
  </sheetViews>
  <sheetFormatPr defaultColWidth="0" defaultRowHeight="14.5" zeroHeight="1" x14ac:dyDescent="0.35"/>
  <cols>
    <col min="1" max="1" width="9.1796875" customWidth="1"/>
    <col min="2" max="2" width="30" style="2" customWidth="1"/>
    <col min="3" max="3" width="17.54296875" style="2" customWidth="1"/>
    <col min="4" max="4" width="16.453125" style="2" customWidth="1"/>
    <col min="5" max="5" width="10.81640625" customWidth="1"/>
    <col min="6" max="6" width="10.81640625" style="48" customWidth="1"/>
    <col min="7" max="7" width="10.81640625" customWidth="1"/>
    <col min="8" max="8" width="10.81640625" style="39" customWidth="1"/>
    <col min="9" max="9" width="10.81640625" customWidth="1"/>
    <col min="10" max="10" width="10.81640625" style="39" customWidth="1"/>
    <col min="11" max="11" width="10.81640625" customWidth="1"/>
    <col min="12" max="12" width="10.81640625" style="39" customWidth="1"/>
    <col min="13" max="14" width="9.1796875" customWidth="1"/>
    <col min="15" max="17" width="0" hidden="1" customWidth="1"/>
    <col min="18" max="16384" width="9.1796875" hidden="1"/>
  </cols>
  <sheetData>
    <row r="1" spans="2:13" s="15" customFormat="1" ht="29.5" customHeight="1" x14ac:dyDescent="0.35">
      <c r="B1" s="103" t="s">
        <v>92</v>
      </c>
      <c r="C1" s="101"/>
      <c r="D1" s="101"/>
      <c r="F1" s="102"/>
      <c r="L1" s="503" t="s">
        <v>121</v>
      </c>
      <c r="M1" s="503"/>
    </row>
    <row r="2" spans="2:13" x14ac:dyDescent="0.35">
      <c r="B2" s="3"/>
      <c r="C2" s="3"/>
      <c r="D2" s="3"/>
    </row>
    <row r="3" spans="2:13" x14ac:dyDescent="0.35">
      <c r="B3" s="391" t="s">
        <v>183</v>
      </c>
      <c r="C3" s="3"/>
      <c r="D3" s="3"/>
      <c r="F3" s="389" t="s">
        <v>206</v>
      </c>
      <c r="G3" s="390"/>
      <c r="H3" s="390"/>
      <c r="I3" s="390"/>
      <c r="J3" s="390"/>
    </row>
    <row r="4" spans="2:13" x14ac:dyDescent="0.35">
      <c r="B4" s="391"/>
      <c r="C4" s="3"/>
      <c r="D4" s="3"/>
      <c r="F4" s="390"/>
      <c r="G4" s="390"/>
      <c r="H4" s="390"/>
      <c r="I4" s="390"/>
      <c r="J4" s="390"/>
    </row>
    <row r="5" spans="2:13" ht="15" thickBot="1" x14ac:dyDescent="0.4"/>
    <row r="6" spans="2:13" s="13" customFormat="1" ht="25.9" customHeight="1" thickTop="1" thickBot="1" x14ac:dyDescent="0.4">
      <c r="B6" s="396"/>
      <c r="C6" s="397"/>
      <c r="D6" s="398"/>
      <c r="E6" s="399" t="s">
        <v>185</v>
      </c>
      <c r="F6" s="400"/>
      <c r="G6" s="399" t="s">
        <v>186</v>
      </c>
      <c r="H6" s="400"/>
      <c r="I6" s="399" t="s">
        <v>187</v>
      </c>
      <c r="J6" s="400"/>
      <c r="K6" s="399" t="s">
        <v>188</v>
      </c>
      <c r="L6" s="400"/>
    </row>
    <row r="7" spans="2:13" ht="10.5" customHeight="1" thickTop="1" x14ac:dyDescent="0.35">
      <c r="B7" s="407" t="s">
        <v>50</v>
      </c>
      <c r="C7" s="410" t="s">
        <v>13</v>
      </c>
      <c r="D7" s="411"/>
      <c r="E7" s="414">
        <f ca="1">Data!G50</f>
        <v>12.8</v>
      </c>
      <c r="F7" s="415"/>
      <c r="G7" s="414">
        <f ca="1">Data!G101</f>
        <v>11.5</v>
      </c>
      <c r="H7" s="415"/>
      <c r="I7" s="490">
        <f ca="1">Data!G152</f>
        <v>11</v>
      </c>
      <c r="J7" s="432"/>
      <c r="K7" s="488" t="str">
        <f ca="1">Data!G203</f>
        <v>No data</v>
      </c>
      <c r="L7" s="402"/>
    </row>
    <row r="8" spans="2:13" ht="10.5" customHeight="1" x14ac:dyDescent="0.35">
      <c r="B8" s="408"/>
      <c r="C8" s="412"/>
      <c r="D8" s="413"/>
      <c r="E8" s="416"/>
      <c r="F8" s="417"/>
      <c r="G8" s="416"/>
      <c r="H8" s="417"/>
      <c r="I8" s="433"/>
      <c r="J8" s="434"/>
      <c r="K8" s="403"/>
      <c r="L8" s="404"/>
    </row>
    <row r="9" spans="2:13" ht="10.5" customHeight="1" thickBot="1" x14ac:dyDescent="0.4">
      <c r="B9" s="408"/>
      <c r="C9" s="412"/>
      <c r="D9" s="413"/>
      <c r="E9" s="418"/>
      <c r="F9" s="419"/>
      <c r="G9" s="418"/>
      <c r="H9" s="419"/>
      <c r="I9" s="435"/>
      <c r="J9" s="436"/>
      <c r="K9" s="405"/>
      <c r="L9" s="406"/>
    </row>
    <row r="10" spans="2:13" ht="10.5" customHeight="1" thickTop="1" x14ac:dyDescent="0.35">
      <c r="B10" s="408"/>
      <c r="C10" s="410" t="s">
        <v>14</v>
      </c>
      <c r="D10" s="411"/>
      <c r="E10" s="414">
        <f ca="1">Data!H50</f>
        <v>18.8</v>
      </c>
      <c r="F10" s="426"/>
      <c r="G10" s="414">
        <f ca="1">Data!H101</f>
        <v>19.7</v>
      </c>
      <c r="H10" s="415"/>
      <c r="I10" s="490">
        <f ca="1">Data!H152</f>
        <v>15</v>
      </c>
      <c r="J10" s="432"/>
      <c r="K10" s="488" t="str">
        <f ca="1">Data!H203</f>
        <v>No data</v>
      </c>
      <c r="L10" s="402"/>
    </row>
    <row r="11" spans="2:13" ht="10.5" customHeight="1" x14ac:dyDescent="0.35">
      <c r="B11" s="408"/>
      <c r="C11" s="412"/>
      <c r="D11" s="413"/>
      <c r="E11" s="427"/>
      <c r="F11" s="428"/>
      <c r="G11" s="416"/>
      <c r="H11" s="417"/>
      <c r="I11" s="433"/>
      <c r="J11" s="434"/>
      <c r="K11" s="403"/>
      <c r="L11" s="404"/>
    </row>
    <row r="12" spans="2:13" ht="10.5" customHeight="1" thickBot="1" x14ac:dyDescent="0.4">
      <c r="B12" s="409"/>
      <c r="C12" s="412"/>
      <c r="D12" s="413"/>
      <c r="E12" s="429"/>
      <c r="F12" s="430"/>
      <c r="G12" s="418"/>
      <c r="H12" s="419"/>
      <c r="I12" s="435"/>
      <c r="J12" s="436"/>
      <c r="K12" s="405"/>
      <c r="L12" s="406"/>
    </row>
    <row r="13" spans="2:13" ht="15" customHeight="1" thickTop="1" x14ac:dyDescent="0.35">
      <c r="B13" s="394" t="s">
        <v>205</v>
      </c>
      <c r="C13" s="407" t="s">
        <v>13</v>
      </c>
      <c r="D13" s="438" t="s">
        <v>38</v>
      </c>
      <c r="E13" s="439">
        <f ca="1">Data!J50</f>
        <v>41</v>
      </c>
      <c r="F13" s="441">
        <f ca="1">IFERROR(E13/E19,"(-%)")</f>
        <v>0.12275449101796407</v>
      </c>
      <c r="G13" s="482">
        <f ca="1">Data!J101</f>
        <v>55</v>
      </c>
      <c r="H13" s="441">
        <f ca="1">IFERROR(G13/G19,"(-%)")</f>
        <v>0.15850144092219021</v>
      </c>
      <c r="I13" s="444">
        <f ca="1">Data!J152</f>
        <v>28</v>
      </c>
      <c r="J13" s="446">
        <f ca="1">IFERROR(I13/I19,"(-%)")</f>
        <v>8.9743589743589744E-2</v>
      </c>
      <c r="K13" s="392" t="str">
        <f ca="1">Data!J203</f>
        <v>No data</v>
      </c>
      <c r="L13" s="462" t="str">
        <f ca="1">IFERROR(K13/K19,"(-%)")</f>
        <v>(-%)</v>
      </c>
    </row>
    <row r="14" spans="2:13" ht="15" customHeight="1" x14ac:dyDescent="0.35">
      <c r="B14" s="395"/>
      <c r="C14" s="408"/>
      <c r="D14" s="437"/>
      <c r="E14" s="440"/>
      <c r="F14" s="442"/>
      <c r="G14" s="480"/>
      <c r="H14" s="442"/>
      <c r="I14" s="445"/>
      <c r="J14" s="447"/>
      <c r="K14" s="393"/>
      <c r="L14" s="461"/>
    </row>
    <row r="15" spans="2:13" ht="15" customHeight="1" x14ac:dyDescent="0.35">
      <c r="B15" s="395"/>
      <c r="C15" s="408"/>
      <c r="D15" s="437" t="s">
        <v>39</v>
      </c>
      <c r="E15" s="440">
        <f ca="1">Data!K50</f>
        <v>114</v>
      </c>
      <c r="F15" s="442">
        <f ca="1">IFERROR(E15/E19,"(-%)")</f>
        <v>0.3413173652694611</v>
      </c>
      <c r="G15" s="480">
        <f ca="1">Data!K101</f>
        <v>107</v>
      </c>
      <c r="H15" s="442">
        <f ca="1">IFERROR(G15/G19,"(-%)")</f>
        <v>0.30835734870317005</v>
      </c>
      <c r="I15" s="445">
        <f ca="1">Data!K152</f>
        <v>108</v>
      </c>
      <c r="J15" s="447">
        <f ca="1">IFERROR(I15/I19,"(-%)")</f>
        <v>0.34615384615384615</v>
      </c>
      <c r="K15" s="393" t="str">
        <f ca="1">Data!K203</f>
        <v>No data</v>
      </c>
      <c r="L15" s="461" t="str">
        <f ca="1">IFERROR(K15/K19,"(-%)")</f>
        <v>(-%)</v>
      </c>
    </row>
    <row r="16" spans="2:13" ht="15" customHeight="1" x14ac:dyDescent="0.35">
      <c r="B16" s="395"/>
      <c r="C16" s="408"/>
      <c r="D16" s="437"/>
      <c r="E16" s="440"/>
      <c r="F16" s="442"/>
      <c r="G16" s="480"/>
      <c r="H16" s="442"/>
      <c r="I16" s="445"/>
      <c r="J16" s="447"/>
      <c r="K16" s="393"/>
      <c r="L16" s="461"/>
    </row>
    <row r="17" spans="2:12" ht="15" customHeight="1" x14ac:dyDescent="0.35">
      <c r="B17" s="395"/>
      <c r="C17" s="408"/>
      <c r="D17" s="443" t="s">
        <v>40</v>
      </c>
      <c r="E17" s="440">
        <f ca="1">Data!L50</f>
        <v>99</v>
      </c>
      <c r="F17" s="442">
        <f ca="1">IFERROR(E17/E19,"(-%)")</f>
        <v>0.29640718562874252</v>
      </c>
      <c r="G17" s="480">
        <f ca="1">Data!L101</f>
        <v>137</v>
      </c>
      <c r="H17" s="442">
        <f ca="1">IFERROR(G17/G19,"(-%)")</f>
        <v>0.39481268011527376</v>
      </c>
      <c r="I17" s="445">
        <f ca="1">Data!L152</f>
        <v>176</v>
      </c>
      <c r="J17" s="447">
        <f ca="1">IFERROR(I17/I19,"(-%)")</f>
        <v>0.5641025641025641</v>
      </c>
      <c r="K17" s="393" t="str">
        <f ca="1">Data!L203</f>
        <v>No data</v>
      </c>
      <c r="L17" s="461" t="str">
        <f ca="1">IFERROR(K17/K19,"(-%)")</f>
        <v>(-%)</v>
      </c>
    </row>
    <row r="18" spans="2:12" ht="15" customHeight="1" x14ac:dyDescent="0.35">
      <c r="B18" s="395"/>
      <c r="C18" s="408"/>
      <c r="D18" s="437"/>
      <c r="E18" s="440"/>
      <c r="F18" s="442"/>
      <c r="G18" s="480"/>
      <c r="H18" s="442"/>
      <c r="I18" s="445"/>
      <c r="J18" s="447"/>
      <c r="K18" s="393"/>
      <c r="L18" s="461"/>
    </row>
    <row r="19" spans="2:12" s="39" customFormat="1" ht="26.25" customHeight="1" thickBot="1" x14ac:dyDescent="0.4">
      <c r="B19" s="395"/>
      <c r="C19" s="409"/>
      <c r="D19" s="52" t="s">
        <v>204</v>
      </c>
      <c r="E19" s="463">
        <f ca="1">Data!M50</f>
        <v>334</v>
      </c>
      <c r="F19" s="464"/>
      <c r="G19" s="483">
        <f ca="1">Data!M101</f>
        <v>347</v>
      </c>
      <c r="H19" s="464"/>
      <c r="I19" s="477">
        <f ca="1">Data!N152</f>
        <v>312</v>
      </c>
      <c r="J19" s="478"/>
      <c r="K19" s="456" t="str">
        <f ca="1">Data!N203</f>
        <v>No data</v>
      </c>
      <c r="L19" s="457"/>
    </row>
    <row r="20" spans="2:12" ht="15" customHeight="1" thickTop="1" x14ac:dyDescent="0.35">
      <c r="B20" s="395"/>
      <c r="C20" s="407" t="s">
        <v>14</v>
      </c>
      <c r="D20" s="438" t="s">
        <v>38</v>
      </c>
      <c r="E20" s="439">
        <f ca="1">Data!P50</f>
        <v>65</v>
      </c>
      <c r="F20" s="441">
        <f ca="1">IFERROR(E20/E26,"(-%)")</f>
        <v>0.2813852813852814</v>
      </c>
      <c r="G20" s="482">
        <f ca="1">Data!P101</f>
        <v>31</v>
      </c>
      <c r="H20" s="441">
        <f ca="1">IFERROR(G20/G26,"(-%)")</f>
        <v>0.13191489361702127</v>
      </c>
      <c r="I20" s="484">
        <f ca="1">Data!P152</f>
        <v>43</v>
      </c>
      <c r="J20" s="446">
        <f ca="1">IFERROR(I20/I26,"(-%)")</f>
        <v>0.24431818181818182</v>
      </c>
      <c r="K20" s="481" t="str">
        <f ca="1">Data!P203</f>
        <v>No data</v>
      </c>
      <c r="L20" s="462" t="str">
        <f ca="1">IFERROR(K20/K26,"(-%)")</f>
        <v>(-%)</v>
      </c>
    </row>
    <row r="21" spans="2:12" ht="15" customHeight="1" x14ac:dyDescent="0.35">
      <c r="B21" s="395"/>
      <c r="C21" s="408"/>
      <c r="D21" s="437"/>
      <c r="E21" s="440"/>
      <c r="F21" s="442"/>
      <c r="G21" s="480"/>
      <c r="H21" s="442"/>
      <c r="I21" s="459"/>
      <c r="J21" s="447"/>
      <c r="K21" s="460"/>
      <c r="L21" s="461"/>
    </row>
    <row r="22" spans="2:12" ht="15" customHeight="1" x14ac:dyDescent="0.35">
      <c r="B22" s="395"/>
      <c r="C22" s="408"/>
      <c r="D22" s="437" t="s">
        <v>39</v>
      </c>
      <c r="E22" s="440">
        <f ca="1">Data!Q50</f>
        <v>104</v>
      </c>
      <c r="F22" s="442">
        <f ca="1">IFERROR(E22/E26,"(-%)")</f>
        <v>0.45021645021645024</v>
      </c>
      <c r="G22" s="480">
        <f ca="1">Data!Q101</f>
        <v>114</v>
      </c>
      <c r="H22" s="442">
        <f ca="1">IFERROR(G22/G26,"(-%)")</f>
        <v>0.48510638297872338</v>
      </c>
      <c r="I22" s="459">
        <f ca="1">Data!Q152</f>
        <v>61</v>
      </c>
      <c r="J22" s="447">
        <f ca="1">IFERROR(I22/I26,"(-%)")</f>
        <v>0.34659090909090912</v>
      </c>
      <c r="K22" s="460" t="str">
        <f ca="1">Data!Q203</f>
        <v>No data</v>
      </c>
      <c r="L22" s="461" t="str">
        <f ca="1">IFERROR(K22/K26,"(-%)")</f>
        <v>(-%)</v>
      </c>
    </row>
    <row r="23" spans="2:12" ht="15" customHeight="1" x14ac:dyDescent="0.35">
      <c r="B23" s="395"/>
      <c r="C23" s="408"/>
      <c r="D23" s="437"/>
      <c r="E23" s="440"/>
      <c r="F23" s="442"/>
      <c r="G23" s="480"/>
      <c r="H23" s="442"/>
      <c r="I23" s="459"/>
      <c r="J23" s="447"/>
      <c r="K23" s="460"/>
      <c r="L23" s="461"/>
    </row>
    <row r="24" spans="2:12" ht="15" customHeight="1" x14ac:dyDescent="0.35">
      <c r="B24" s="395"/>
      <c r="C24" s="408"/>
      <c r="D24" s="443" t="s">
        <v>40</v>
      </c>
      <c r="E24" s="440">
        <f ca="1">Data!R50</f>
        <v>26</v>
      </c>
      <c r="F24" s="442">
        <f ca="1">IFERROR(E24/E26,"(-%)")</f>
        <v>0.11255411255411256</v>
      </c>
      <c r="G24" s="480">
        <f ca="1">Data!R101</f>
        <v>48</v>
      </c>
      <c r="H24" s="442">
        <f ca="1">IFERROR(G24/G26,"(-%)")</f>
        <v>0.20425531914893616</v>
      </c>
      <c r="I24" s="459">
        <f ca="1">Data!R152</f>
        <v>72</v>
      </c>
      <c r="J24" s="447">
        <f ca="1">IFERROR(I24/I26,"(-%)")</f>
        <v>0.40909090909090912</v>
      </c>
      <c r="K24" s="460" t="str">
        <f ca="1">Data!R203</f>
        <v>No data</v>
      </c>
      <c r="L24" s="461" t="str">
        <f ca="1">IFERROR(K24/K26,"(-%)")</f>
        <v>(-%)</v>
      </c>
    </row>
    <row r="25" spans="2:12" ht="15" customHeight="1" x14ac:dyDescent="0.35">
      <c r="B25" s="395"/>
      <c r="C25" s="408"/>
      <c r="D25" s="437"/>
      <c r="E25" s="440"/>
      <c r="F25" s="442"/>
      <c r="G25" s="480"/>
      <c r="H25" s="442"/>
      <c r="I25" s="459"/>
      <c r="J25" s="447"/>
      <c r="K25" s="460"/>
      <c r="L25" s="461"/>
    </row>
    <row r="26" spans="2:12" s="39" customFormat="1" ht="21.75" customHeight="1" thickBot="1" x14ac:dyDescent="0.4">
      <c r="B26" s="395"/>
      <c r="C26" s="408"/>
      <c r="D26" s="89" t="s">
        <v>204</v>
      </c>
      <c r="E26" s="452">
        <f ca="1">Data!S50</f>
        <v>231</v>
      </c>
      <c r="F26" s="453"/>
      <c r="G26" s="483">
        <f ca="1">Data!S101</f>
        <v>235</v>
      </c>
      <c r="H26" s="464"/>
      <c r="I26" s="487">
        <f ca="1">Data!T152</f>
        <v>176</v>
      </c>
      <c r="J26" s="479"/>
      <c r="K26" s="489" t="str">
        <f ca="1">Data!T203</f>
        <v>No data</v>
      </c>
      <c r="L26" s="458"/>
    </row>
    <row r="27" spans="2:12" ht="27.75" customHeight="1" thickTop="1" thickBot="1" x14ac:dyDescent="0.4">
      <c r="B27" s="455" t="s">
        <v>4</v>
      </c>
      <c r="C27" s="455" t="s">
        <v>13</v>
      </c>
      <c r="D27" s="472"/>
      <c r="E27" s="473">
        <f ca="1">Data!U50</f>
        <v>0.107</v>
      </c>
      <c r="F27" s="474"/>
      <c r="G27" s="485">
        <f ca="1">Data!U101</f>
        <v>0.13</v>
      </c>
      <c r="H27" s="474"/>
      <c r="I27" s="468">
        <f ca="1">Data!U152</f>
        <v>0.15</v>
      </c>
      <c r="J27" s="486"/>
      <c r="K27" s="470" t="str">
        <f ca="1">Data!U203</f>
        <v>No data</v>
      </c>
      <c r="L27" s="471"/>
    </row>
    <row r="28" spans="2:12" ht="24" customHeight="1" thickTop="1" thickBot="1" x14ac:dyDescent="0.4">
      <c r="B28" s="455"/>
      <c r="C28" s="455" t="s">
        <v>14</v>
      </c>
      <c r="D28" s="472"/>
      <c r="E28" s="473">
        <f ca="1">Data!V50</f>
        <v>6.8000000000000005E-2</v>
      </c>
      <c r="F28" s="474"/>
      <c r="G28" s="485">
        <f ca="1">Data!V76</f>
        <v>0</v>
      </c>
      <c r="H28" s="474"/>
      <c r="I28" s="468">
        <f ca="1">Data!V152</f>
        <v>0.13</v>
      </c>
      <c r="J28" s="486"/>
      <c r="K28" s="470" t="str">
        <f ca="1">Data!V203</f>
        <v>No data</v>
      </c>
      <c r="L28" s="471"/>
    </row>
    <row r="29" spans="2:12" ht="15" thickTop="1" x14ac:dyDescent="0.35"/>
    <row r="30" spans="2:12" x14ac:dyDescent="0.35">
      <c r="B30" s="16"/>
      <c r="C30" s="16"/>
      <c r="D30" s="16"/>
      <c r="E30" s="17"/>
      <c r="F30" s="49"/>
      <c r="G30" s="17"/>
      <c r="H30" s="17"/>
      <c r="I30" s="17"/>
      <c r="J30" s="17"/>
      <c r="K30" s="17"/>
      <c r="L30" s="17"/>
    </row>
    <row r="31" spans="2:12" x14ac:dyDescent="0.35">
      <c r="B31" s="467" t="s">
        <v>49</v>
      </c>
      <c r="C31" s="467"/>
      <c r="D31" s="467"/>
      <c r="E31" s="467"/>
      <c r="F31" s="41"/>
      <c r="G31" s="17"/>
      <c r="H31" s="17"/>
      <c r="I31" s="17"/>
      <c r="J31" s="17"/>
      <c r="K31" s="17"/>
      <c r="L31" s="17"/>
    </row>
    <row r="32" spans="2:12" x14ac:dyDescent="0.35">
      <c r="B32" s="16"/>
      <c r="C32" s="16"/>
      <c r="D32" s="16"/>
      <c r="E32" s="17"/>
      <c r="F32" s="49"/>
      <c r="G32" s="17"/>
      <c r="H32" s="17"/>
      <c r="I32" s="17"/>
      <c r="J32" s="17"/>
      <c r="K32" s="17"/>
      <c r="L32" s="17"/>
    </row>
    <row r="33" spans="2:12" x14ac:dyDescent="0.35">
      <c r="B33" s="16"/>
      <c r="C33" s="16"/>
      <c r="D33" s="16"/>
      <c r="E33" s="17"/>
      <c r="F33" s="49"/>
      <c r="G33" s="17"/>
      <c r="H33" s="17"/>
      <c r="I33" s="17"/>
      <c r="J33" s="17"/>
      <c r="K33" s="17"/>
      <c r="L33" s="17"/>
    </row>
    <row r="34" spans="2:12" x14ac:dyDescent="0.35">
      <c r="B34" s="16"/>
      <c r="C34" s="16"/>
      <c r="D34" s="16"/>
      <c r="E34" s="17"/>
      <c r="F34" s="49"/>
      <c r="G34" s="17"/>
      <c r="H34" s="17"/>
      <c r="I34" s="17"/>
      <c r="J34" s="17"/>
      <c r="K34" s="17"/>
      <c r="L34" s="17"/>
    </row>
    <row r="35" spans="2:12" x14ac:dyDescent="0.35">
      <c r="B35" s="16"/>
      <c r="C35" s="16"/>
      <c r="D35" s="16"/>
      <c r="E35" s="17"/>
      <c r="F35" s="49"/>
      <c r="G35" s="17"/>
      <c r="H35" s="17"/>
      <c r="I35" s="17"/>
      <c r="J35" s="17"/>
      <c r="K35" s="17"/>
      <c r="L35" s="17"/>
    </row>
    <row r="36" spans="2:12" x14ac:dyDescent="0.35">
      <c r="B36" s="16"/>
      <c r="C36" s="16"/>
      <c r="D36" s="16"/>
      <c r="E36" s="17"/>
      <c r="F36" s="49"/>
      <c r="G36" s="17"/>
      <c r="H36" s="17"/>
      <c r="I36" s="17"/>
      <c r="J36" s="17"/>
      <c r="K36" s="17"/>
      <c r="L36" s="17"/>
    </row>
    <row r="37" spans="2:12" x14ac:dyDescent="0.35">
      <c r="B37" s="16"/>
      <c r="C37" s="16"/>
      <c r="D37" s="16"/>
      <c r="E37" s="17"/>
      <c r="F37" s="49"/>
      <c r="G37" s="17"/>
      <c r="H37" s="17"/>
      <c r="I37" s="17"/>
      <c r="J37" s="17"/>
      <c r="K37" s="17"/>
      <c r="L37" s="17"/>
    </row>
    <row r="38" spans="2:12" x14ac:dyDescent="0.35">
      <c r="B38" s="16"/>
      <c r="C38" s="16"/>
      <c r="D38" s="16"/>
      <c r="E38" s="17"/>
      <c r="F38" s="49"/>
      <c r="G38" s="17"/>
      <c r="H38" s="17"/>
      <c r="I38" s="17"/>
      <c r="J38" s="17"/>
      <c r="K38" s="17"/>
      <c r="L38" s="17"/>
    </row>
    <row r="39" spans="2:12" x14ac:dyDescent="0.35">
      <c r="B39" s="16"/>
      <c r="C39" s="16"/>
      <c r="D39" s="16"/>
      <c r="E39" s="17"/>
      <c r="F39" s="49"/>
      <c r="G39" s="17"/>
      <c r="H39" s="17"/>
      <c r="I39" s="17"/>
      <c r="J39" s="17"/>
      <c r="K39" s="17"/>
      <c r="L39" s="17"/>
    </row>
    <row r="40" spans="2:12" x14ac:dyDescent="0.35">
      <c r="B40" s="16"/>
      <c r="C40" s="16"/>
      <c r="D40" s="16"/>
      <c r="E40" s="17"/>
      <c r="F40" s="49"/>
      <c r="G40" s="17"/>
      <c r="H40" s="17"/>
      <c r="I40" s="17"/>
      <c r="J40" s="17"/>
      <c r="K40" s="17"/>
      <c r="L40" s="17"/>
    </row>
    <row r="41" spans="2:12" x14ac:dyDescent="0.35">
      <c r="B41" s="16"/>
      <c r="C41" s="16"/>
      <c r="D41" s="16"/>
      <c r="E41" s="17"/>
      <c r="F41" s="49"/>
      <c r="G41" s="17"/>
      <c r="H41" s="17"/>
      <c r="I41" s="17"/>
      <c r="J41" s="17"/>
      <c r="K41" s="17"/>
      <c r="L41" s="17"/>
    </row>
    <row r="42" spans="2:12" x14ac:dyDescent="0.35">
      <c r="B42" s="16"/>
      <c r="C42" s="16"/>
      <c r="D42" s="16"/>
      <c r="E42" s="17"/>
      <c r="F42" s="49"/>
      <c r="G42" s="17"/>
      <c r="H42" s="17"/>
      <c r="I42" s="17"/>
      <c r="J42" s="17"/>
      <c r="K42" s="17"/>
      <c r="L42" s="17"/>
    </row>
    <row r="43" spans="2:12" x14ac:dyDescent="0.35">
      <c r="B43" s="16"/>
      <c r="C43" s="16"/>
      <c r="D43" s="16"/>
      <c r="E43" s="17"/>
      <c r="F43" s="49"/>
      <c r="G43" s="17"/>
      <c r="H43" s="17"/>
      <c r="I43" s="17"/>
      <c r="J43" s="17"/>
      <c r="K43" s="17"/>
      <c r="L43" s="17"/>
    </row>
    <row r="44" spans="2:12" x14ac:dyDescent="0.35">
      <c r="B44" s="16"/>
      <c r="C44" s="16"/>
      <c r="D44" s="16"/>
      <c r="E44" s="17"/>
      <c r="F44" s="49"/>
      <c r="G44" s="17"/>
      <c r="H44" s="17"/>
      <c r="I44" s="17"/>
      <c r="J44" s="17"/>
      <c r="K44" s="17"/>
      <c r="L44" s="17"/>
    </row>
    <row r="45" spans="2:12" x14ac:dyDescent="0.35">
      <c r="B45" s="16"/>
      <c r="C45" s="16"/>
      <c r="D45" s="16"/>
      <c r="E45" s="17"/>
      <c r="F45" s="49"/>
      <c r="G45" s="17"/>
      <c r="H45" s="17"/>
      <c r="I45" s="17"/>
      <c r="J45" s="17"/>
      <c r="K45" s="17"/>
      <c r="L45" s="17"/>
    </row>
    <row r="46" spans="2:12" x14ac:dyDescent="0.35">
      <c r="B46" s="16"/>
      <c r="C46" s="16"/>
      <c r="D46" s="16"/>
      <c r="E46" s="17"/>
      <c r="F46" s="49"/>
      <c r="G46" s="17"/>
      <c r="H46" s="17"/>
      <c r="I46" s="17"/>
      <c r="J46" s="17"/>
      <c r="K46" s="17"/>
      <c r="L46" s="17"/>
    </row>
    <row r="47" spans="2:12" x14ac:dyDescent="0.35">
      <c r="B47" s="16"/>
      <c r="C47" s="16"/>
      <c r="D47" s="16"/>
      <c r="E47" s="17"/>
      <c r="F47" s="49"/>
      <c r="G47" s="17"/>
      <c r="H47" s="17"/>
      <c r="I47" s="17"/>
      <c r="J47" s="17"/>
      <c r="K47" s="17"/>
      <c r="L47" s="17"/>
    </row>
    <row r="48" spans="2:12" x14ac:dyDescent="0.35">
      <c r="B48" s="16"/>
      <c r="C48" s="16"/>
      <c r="D48" s="16"/>
      <c r="E48" s="17"/>
      <c r="F48" s="49"/>
      <c r="G48" s="17"/>
      <c r="H48" s="17"/>
      <c r="I48" s="17"/>
      <c r="J48" s="17"/>
      <c r="K48" s="17"/>
      <c r="L48" s="17"/>
    </row>
    <row r="49" spans="2:14" x14ac:dyDescent="0.35">
      <c r="B49" s="16"/>
      <c r="C49" s="16"/>
      <c r="D49" s="16"/>
      <c r="E49" s="17"/>
      <c r="F49" s="49"/>
      <c r="G49" s="17"/>
      <c r="H49" s="17"/>
      <c r="I49" s="17"/>
      <c r="J49" s="17"/>
      <c r="K49" s="17"/>
      <c r="L49" s="17"/>
    </row>
    <row r="50" spans="2:14" x14ac:dyDescent="0.35">
      <c r="B50" s="16"/>
      <c r="C50" s="16"/>
      <c r="D50" s="16"/>
      <c r="E50" s="17"/>
      <c r="F50" s="49"/>
      <c r="G50" s="17"/>
      <c r="H50" s="17"/>
      <c r="I50" s="17"/>
      <c r="J50" s="17"/>
      <c r="K50" s="17"/>
      <c r="L50" s="17"/>
    </row>
    <row r="51" spans="2:14" x14ac:dyDescent="0.35">
      <c r="B51" s="16"/>
      <c r="C51" s="16"/>
      <c r="D51" s="16"/>
      <c r="E51" s="17"/>
      <c r="F51" s="49"/>
      <c r="G51" s="17"/>
      <c r="H51" s="17"/>
      <c r="I51" s="17"/>
      <c r="J51" s="17"/>
      <c r="K51" s="17"/>
      <c r="L51" s="17"/>
    </row>
    <row r="52" spans="2:14" s="39" customFormat="1" ht="22.5" customHeight="1" x14ac:dyDescent="0.35">
      <c r="B52" s="106" t="s">
        <v>123</v>
      </c>
      <c r="C52" s="17"/>
      <c r="D52" s="16"/>
      <c r="E52" s="16"/>
      <c r="F52" s="17"/>
      <c r="G52" s="49"/>
      <c r="H52" s="17"/>
      <c r="I52" s="17"/>
      <c r="J52" s="17"/>
      <c r="K52" s="17"/>
      <c r="L52" s="17"/>
    </row>
    <row r="53" spans="2:14" x14ac:dyDescent="0.35">
      <c r="B53" s="16"/>
      <c r="C53" s="16"/>
      <c r="D53" s="16"/>
      <c r="E53" s="17"/>
      <c r="F53" s="49"/>
      <c r="G53" s="17"/>
      <c r="H53" s="17"/>
      <c r="I53" s="17"/>
      <c r="J53" s="17"/>
      <c r="K53" s="17"/>
      <c r="L53" s="17"/>
      <c r="M53" s="39"/>
      <c r="N53" s="39"/>
    </row>
    <row r="54" spans="2:14" x14ac:dyDescent="0.35">
      <c r="B54" s="16"/>
      <c r="C54" s="16"/>
      <c r="D54" s="16"/>
      <c r="E54" s="17"/>
      <c r="F54" s="49"/>
      <c r="G54" s="17"/>
      <c r="H54" s="17"/>
      <c r="I54" s="17"/>
      <c r="J54" s="17"/>
      <c r="K54" s="17"/>
      <c r="L54" s="17"/>
    </row>
    <row r="55" spans="2:14" x14ac:dyDescent="0.35">
      <c r="B55" s="16"/>
      <c r="C55" s="16"/>
      <c r="D55" s="16"/>
      <c r="E55" s="17"/>
      <c r="F55" s="49"/>
      <c r="G55" s="17"/>
      <c r="H55" s="17"/>
      <c r="I55" s="17"/>
      <c r="J55" s="17"/>
      <c r="K55" s="17"/>
      <c r="L55" s="17"/>
    </row>
    <row r="56" spans="2:14" x14ac:dyDescent="0.35">
      <c r="B56" s="16"/>
      <c r="C56" s="16"/>
      <c r="D56" s="16"/>
      <c r="E56" s="17"/>
      <c r="F56" s="49"/>
      <c r="G56" s="17"/>
      <c r="H56" s="17"/>
      <c r="I56" s="17"/>
      <c r="J56" s="17"/>
      <c r="K56" s="17"/>
      <c r="L56" s="17"/>
    </row>
    <row r="57" spans="2:14" x14ac:dyDescent="0.35">
      <c r="B57" s="16"/>
      <c r="C57" s="16"/>
      <c r="D57" s="16"/>
      <c r="E57" s="17"/>
      <c r="F57" s="49"/>
      <c r="G57" s="17"/>
      <c r="H57" s="17"/>
      <c r="I57" s="17"/>
      <c r="J57" s="17"/>
      <c r="K57" s="17"/>
      <c r="L57" s="17"/>
    </row>
    <row r="58" spans="2:14" x14ac:dyDescent="0.35">
      <c r="B58" s="16"/>
      <c r="C58" s="16"/>
      <c r="D58" s="16"/>
      <c r="E58" s="17"/>
      <c r="F58" s="49"/>
      <c r="G58" s="17"/>
      <c r="H58" s="17"/>
      <c r="I58" s="17"/>
      <c r="J58" s="17"/>
      <c r="K58" s="17"/>
      <c r="L58" s="17"/>
    </row>
    <row r="59" spans="2:14" x14ac:dyDescent="0.35">
      <c r="B59" s="16"/>
      <c r="C59" s="16"/>
      <c r="D59" s="16"/>
      <c r="E59" s="17"/>
      <c r="F59" s="49"/>
      <c r="G59" s="17"/>
      <c r="H59" s="17"/>
      <c r="I59" s="17"/>
      <c r="J59" s="17"/>
      <c r="K59" s="17"/>
      <c r="L59" s="17"/>
    </row>
    <row r="60" spans="2:14" x14ac:dyDescent="0.35">
      <c r="B60" s="16"/>
      <c r="C60" s="16"/>
      <c r="D60" s="16"/>
      <c r="E60" s="17"/>
      <c r="F60" s="49"/>
      <c r="G60" s="17"/>
      <c r="H60" s="17"/>
      <c r="I60" s="17"/>
      <c r="J60" s="17"/>
      <c r="K60" s="17"/>
      <c r="L60" s="17"/>
    </row>
    <row r="61" spans="2:14" x14ac:dyDescent="0.35">
      <c r="B61" s="16"/>
      <c r="C61" s="16"/>
      <c r="D61" s="16"/>
      <c r="E61" s="17"/>
      <c r="F61" s="49"/>
      <c r="G61" s="17"/>
      <c r="H61" s="17"/>
      <c r="I61" s="17"/>
      <c r="J61" s="17"/>
      <c r="K61" s="17"/>
      <c r="L61" s="17"/>
    </row>
    <row r="62" spans="2:14" x14ac:dyDescent="0.35">
      <c r="B62" s="16"/>
      <c r="C62" s="16"/>
      <c r="D62" s="16"/>
      <c r="E62" s="17"/>
      <c r="F62" s="49"/>
      <c r="G62" s="17"/>
      <c r="H62" s="17"/>
      <c r="I62" s="17"/>
      <c r="J62" s="17"/>
      <c r="K62" s="17"/>
      <c r="L62" s="17"/>
    </row>
    <row r="63" spans="2:14" x14ac:dyDescent="0.35">
      <c r="B63" s="16"/>
      <c r="C63" s="16"/>
      <c r="D63" s="16"/>
      <c r="E63" s="17"/>
      <c r="F63" s="49"/>
      <c r="G63" s="17"/>
      <c r="H63" s="17"/>
      <c r="I63" s="17"/>
      <c r="J63" s="17"/>
      <c r="K63" s="17"/>
      <c r="L63" s="17"/>
    </row>
    <row r="64" spans="2:14" x14ac:dyDescent="0.35">
      <c r="B64" s="16"/>
      <c r="C64" s="16"/>
      <c r="D64" s="16"/>
      <c r="E64" s="17"/>
      <c r="F64" s="49"/>
      <c r="G64" s="17"/>
      <c r="H64" s="17"/>
      <c r="I64" s="17"/>
      <c r="J64" s="17"/>
      <c r="K64" s="17"/>
      <c r="L64" s="17"/>
    </row>
    <row r="65" spans="2:12" x14ac:dyDescent="0.35">
      <c r="B65" s="16"/>
      <c r="C65" s="16"/>
      <c r="D65" s="16"/>
      <c r="E65" s="17"/>
      <c r="F65" s="49"/>
      <c r="G65" s="17"/>
      <c r="H65" s="17"/>
      <c r="I65" s="17"/>
      <c r="J65" s="17"/>
      <c r="K65" s="17"/>
      <c r="L65" s="17"/>
    </row>
    <row r="66" spans="2:12" x14ac:dyDescent="0.35">
      <c r="B66" s="16"/>
      <c r="C66" s="16"/>
      <c r="D66" s="16"/>
      <c r="E66" s="17"/>
      <c r="F66" s="49"/>
      <c r="G66" s="17"/>
      <c r="H66" s="17"/>
      <c r="I66" s="17"/>
      <c r="J66" s="17"/>
      <c r="K66" s="17"/>
      <c r="L66" s="17"/>
    </row>
    <row r="67" spans="2:12" x14ac:dyDescent="0.35">
      <c r="B67" s="16"/>
      <c r="C67" s="16"/>
      <c r="D67" s="16"/>
      <c r="E67" s="17"/>
      <c r="F67" s="49"/>
      <c r="G67" s="17"/>
      <c r="H67" s="17"/>
      <c r="I67" s="17"/>
      <c r="J67" s="17"/>
      <c r="K67" s="17"/>
      <c r="L67" s="17"/>
    </row>
    <row r="68" spans="2:12" x14ac:dyDescent="0.35">
      <c r="B68" s="16"/>
      <c r="C68" s="16"/>
      <c r="D68" s="16"/>
      <c r="E68" s="17"/>
      <c r="F68" s="49"/>
      <c r="G68" s="17"/>
      <c r="H68" s="17"/>
      <c r="I68" s="17"/>
      <c r="J68" s="17"/>
      <c r="K68" s="17"/>
      <c r="L68" s="17"/>
    </row>
    <row r="69" spans="2:12" x14ac:dyDescent="0.35">
      <c r="B69" s="16"/>
      <c r="C69" s="16"/>
      <c r="D69" s="16"/>
      <c r="E69" s="17"/>
      <c r="F69" s="49"/>
      <c r="G69" s="17"/>
      <c r="H69" s="17"/>
      <c r="I69" s="17"/>
      <c r="J69" s="17"/>
      <c r="K69" s="17"/>
      <c r="L69" s="17"/>
    </row>
    <row r="70" spans="2:12" x14ac:dyDescent="0.35">
      <c r="B70" s="16"/>
      <c r="C70" s="16"/>
      <c r="D70" s="16"/>
      <c r="E70" s="17"/>
      <c r="F70" s="49"/>
      <c r="G70" s="17"/>
      <c r="H70" s="17"/>
      <c r="I70" s="17"/>
      <c r="J70" s="17"/>
      <c r="K70" s="17"/>
      <c r="L70" s="17"/>
    </row>
    <row r="71" spans="2:12" x14ac:dyDescent="0.35">
      <c r="B71" s="106" t="s">
        <v>124</v>
      </c>
      <c r="C71" s="16"/>
      <c r="D71" s="16"/>
      <c r="E71" s="17"/>
      <c r="F71" s="49"/>
      <c r="G71" s="17"/>
      <c r="H71" s="17"/>
      <c r="I71" s="17"/>
      <c r="J71" s="17"/>
      <c r="K71" s="17"/>
      <c r="L71" s="17"/>
    </row>
    <row r="72" spans="2:12" x14ac:dyDescent="0.35">
      <c r="B72" s="16"/>
      <c r="C72" s="16"/>
      <c r="D72" s="16"/>
      <c r="E72" s="17"/>
      <c r="F72" s="49"/>
      <c r="G72" s="17"/>
      <c r="H72" s="17"/>
      <c r="I72" s="17"/>
      <c r="J72" s="17"/>
      <c r="K72" s="17"/>
      <c r="L72" s="17"/>
    </row>
    <row r="73" spans="2:12" x14ac:dyDescent="0.35">
      <c r="B73" s="16"/>
      <c r="C73" s="16"/>
      <c r="D73" s="16"/>
      <c r="E73" s="17"/>
      <c r="F73" s="49"/>
      <c r="G73" s="17"/>
      <c r="H73" s="17"/>
      <c r="I73" s="17"/>
      <c r="J73" s="17"/>
      <c r="K73" s="17"/>
      <c r="L73" s="17"/>
    </row>
    <row r="74" spans="2:12" x14ac:dyDescent="0.35">
      <c r="B74" s="16"/>
      <c r="C74" s="16"/>
      <c r="D74" s="16"/>
      <c r="E74" s="17"/>
      <c r="F74" s="49"/>
      <c r="G74" s="17"/>
      <c r="H74" s="17"/>
      <c r="I74" s="17"/>
      <c r="J74" s="17"/>
      <c r="K74" s="17"/>
      <c r="L74" s="17"/>
    </row>
    <row r="75" spans="2:12" x14ac:dyDescent="0.35">
      <c r="B75" s="16"/>
      <c r="C75" s="16"/>
      <c r="D75" s="16"/>
      <c r="E75" s="17"/>
      <c r="F75" s="49"/>
      <c r="G75" s="17"/>
      <c r="H75" s="17"/>
      <c r="I75" s="17"/>
      <c r="J75" s="17"/>
      <c r="K75" s="17"/>
      <c r="L75" s="17"/>
    </row>
    <row r="76" spans="2:12" x14ac:dyDescent="0.35">
      <c r="B76" s="16"/>
      <c r="C76" s="16"/>
      <c r="D76" s="16"/>
      <c r="E76" s="17"/>
      <c r="F76" s="49"/>
      <c r="G76" s="17"/>
      <c r="H76" s="17"/>
      <c r="I76" s="17"/>
      <c r="J76" s="17"/>
      <c r="K76" s="17"/>
      <c r="L76" s="17"/>
    </row>
    <row r="77" spans="2:12" x14ac:dyDescent="0.35">
      <c r="B77" s="16"/>
      <c r="C77" s="16"/>
      <c r="D77" s="16"/>
      <c r="E77" s="17"/>
      <c r="F77" s="49"/>
      <c r="G77" s="17"/>
      <c r="H77" s="17"/>
      <c r="I77" s="17"/>
      <c r="J77" s="17"/>
      <c r="K77" s="17"/>
      <c r="L77" s="17"/>
    </row>
    <row r="78" spans="2:12" x14ac:dyDescent="0.35">
      <c r="B78" s="16"/>
      <c r="C78" s="16"/>
      <c r="D78" s="16"/>
      <c r="E78" s="17"/>
      <c r="F78" s="49"/>
      <c r="G78" s="17"/>
      <c r="H78" s="17"/>
      <c r="I78" s="17"/>
      <c r="J78" s="17"/>
      <c r="K78" s="17"/>
      <c r="L78" s="17"/>
    </row>
    <row r="79" spans="2:12" x14ac:dyDescent="0.35">
      <c r="B79" s="16"/>
      <c r="C79" s="16"/>
      <c r="D79" s="16"/>
      <c r="E79" s="17"/>
      <c r="F79" s="49"/>
      <c r="G79" s="17"/>
      <c r="H79" s="17"/>
      <c r="I79" s="17"/>
      <c r="J79" s="17"/>
      <c r="K79" s="17"/>
      <c r="L79" s="17"/>
    </row>
    <row r="80" spans="2:12" x14ac:dyDescent="0.35">
      <c r="B80" s="16"/>
      <c r="C80" s="16"/>
      <c r="D80" s="16"/>
      <c r="E80" s="17"/>
      <c r="F80" s="49"/>
      <c r="G80" s="17"/>
      <c r="H80" s="17"/>
      <c r="I80" s="17"/>
      <c r="J80" s="17"/>
      <c r="K80" s="17"/>
      <c r="L80" s="17"/>
    </row>
    <row r="81" spans="2:12" x14ac:dyDescent="0.35">
      <c r="B81" s="16"/>
      <c r="C81" s="16"/>
      <c r="D81" s="16"/>
      <c r="E81" s="17"/>
      <c r="F81" s="49"/>
      <c r="G81" s="17"/>
      <c r="H81" s="17"/>
      <c r="I81" s="17"/>
      <c r="J81" s="17"/>
      <c r="K81" s="17"/>
      <c r="L81" s="17"/>
    </row>
    <row r="82" spans="2:12" x14ac:dyDescent="0.35">
      <c r="B82" s="16"/>
      <c r="C82" s="16"/>
      <c r="D82" s="16"/>
      <c r="E82" s="17"/>
      <c r="F82" s="49"/>
      <c r="G82" s="17"/>
      <c r="H82" s="17"/>
      <c r="I82" s="17"/>
      <c r="J82" s="17"/>
      <c r="K82" s="17"/>
      <c r="L82" s="17"/>
    </row>
    <row r="83" spans="2:12" x14ac:dyDescent="0.35">
      <c r="B83" s="16"/>
      <c r="C83" s="16"/>
      <c r="D83" s="16"/>
      <c r="E83" s="17"/>
      <c r="F83" s="49"/>
      <c r="G83" s="17"/>
      <c r="H83" s="17"/>
      <c r="I83" s="17"/>
      <c r="J83" s="17"/>
      <c r="K83" s="17"/>
      <c r="L83" s="17"/>
    </row>
    <row r="84" spans="2:12" x14ac:dyDescent="0.35">
      <c r="B84" s="16"/>
      <c r="C84" s="16"/>
      <c r="D84" s="16"/>
      <c r="E84" s="17"/>
      <c r="F84" s="49"/>
      <c r="G84" s="17"/>
      <c r="H84" s="17"/>
      <c r="I84" s="17"/>
      <c r="J84" s="17"/>
      <c r="K84" s="17"/>
      <c r="L84" s="17"/>
    </row>
    <row r="85" spans="2:12" x14ac:dyDescent="0.35">
      <c r="B85" s="16"/>
      <c r="C85" s="16"/>
      <c r="D85" s="16"/>
      <c r="E85" s="17"/>
      <c r="F85" s="49"/>
      <c r="G85" s="17"/>
      <c r="H85" s="17"/>
      <c r="I85" s="17"/>
      <c r="J85" s="17"/>
      <c r="K85" s="17"/>
      <c r="L85" s="17"/>
    </row>
    <row r="86" spans="2:12" x14ac:dyDescent="0.35">
      <c r="B86" s="16"/>
      <c r="C86" s="16"/>
      <c r="D86" s="16"/>
      <c r="E86" s="17"/>
      <c r="F86" s="49"/>
      <c r="G86" s="17"/>
      <c r="H86" s="17"/>
      <c r="I86" s="17"/>
      <c r="J86" s="17"/>
      <c r="K86" s="17"/>
      <c r="L86" s="17"/>
    </row>
    <row r="87" spans="2:12" x14ac:dyDescent="0.35">
      <c r="B87" s="16"/>
      <c r="C87" s="16"/>
      <c r="D87" s="16"/>
      <c r="E87" s="17"/>
      <c r="F87" s="49"/>
      <c r="G87" s="17"/>
      <c r="H87" s="17"/>
      <c r="I87" s="17"/>
      <c r="J87" s="17"/>
      <c r="K87" s="17"/>
      <c r="L87" s="17"/>
    </row>
    <row r="88" spans="2:12" x14ac:dyDescent="0.35">
      <c r="B88" s="16"/>
      <c r="C88" s="16"/>
      <c r="D88" s="16"/>
      <c r="E88" s="17"/>
      <c r="F88" s="49"/>
      <c r="G88" s="17"/>
      <c r="H88" s="17"/>
      <c r="I88" s="17"/>
      <c r="J88" s="17"/>
      <c r="K88" s="17"/>
      <c r="L88" s="17"/>
    </row>
    <row r="89" spans="2:12" x14ac:dyDescent="0.35">
      <c r="B89" s="16"/>
      <c r="C89" s="16"/>
      <c r="D89" s="16"/>
      <c r="E89" s="17"/>
      <c r="F89" s="49"/>
      <c r="G89" s="17"/>
      <c r="H89" s="17"/>
      <c r="I89" s="17"/>
      <c r="J89" s="17"/>
      <c r="K89" s="17"/>
      <c r="L89" s="17"/>
    </row>
    <row r="90" spans="2:12" x14ac:dyDescent="0.35">
      <c r="B90" s="16"/>
      <c r="C90" s="16"/>
      <c r="D90" s="16"/>
      <c r="E90" s="17"/>
      <c r="F90" s="49"/>
      <c r="G90" s="17"/>
      <c r="H90" s="17"/>
      <c r="I90" s="17"/>
      <c r="J90" s="17"/>
      <c r="K90" s="17"/>
      <c r="L90" s="17"/>
    </row>
    <row r="91" spans="2:12" x14ac:dyDescent="0.35"/>
    <row r="92" spans="2:12" x14ac:dyDescent="0.35"/>
  </sheetData>
  <sheetProtection algorithmName="SHA-512" hashValue="gnNbstFD326dUib//VPK4w/Yx8ep3DHjUDGu1hbpYSm6BqOfSZcUVfbjCJThzgr8S3ZZf71ltXODCBahZqPeaw==" saltValue="OLhrvQe3S7I6oYkuoN9RVg==" spinCount="100000" sheet="1" objects="1" scenarios="1" selectLockedCells="1"/>
  <mergeCells count="96"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  <mergeCell ref="E27:F27"/>
    <mergeCell ref="E28:F28"/>
    <mergeCell ref="G27:H27"/>
    <mergeCell ref="G28:H28"/>
    <mergeCell ref="H22:H23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H13:H14"/>
    <mergeCell ref="G7:H9"/>
    <mergeCell ref="E6:F6"/>
    <mergeCell ref="C7:D9"/>
    <mergeCell ref="C10:D12"/>
    <mergeCell ref="E7:F9"/>
    <mergeCell ref="E10:F12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K15:K16"/>
    <mergeCell ref="H17:H18"/>
    <mergeCell ref="I17:I18"/>
    <mergeCell ref="J17:J18"/>
    <mergeCell ref="K17:K18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107950</xdr:colOff>
                    <xdr:row>29</xdr:row>
                    <xdr:rowOff>69850</xdr:rowOff>
                  </from>
                  <to>
                    <xdr:col>11</xdr:col>
                    <xdr:colOff>400050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107950</xdr:colOff>
                    <xdr:row>2</xdr:row>
                    <xdr:rowOff>19050</xdr:rowOff>
                  </from>
                  <to>
                    <xdr:col>4</xdr:col>
                    <xdr:colOff>508000</xdr:colOff>
                    <xdr:row>3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topLeftCell="A31" zoomScale="90" zoomScaleNormal="90" workbookViewId="0">
      <selection activeCell="P61" sqref="P61"/>
    </sheetView>
  </sheetViews>
  <sheetFormatPr defaultColWidth="8.7265625" defaultRowHeight="14.5" x14ac:dyDescent="0.35"/>
  <cols>
    <col min="1" max="16" width="12.26953125" style="39" customWidth="1"/>
    <col min="17" max="16384" width="8.7265625" style="39"/>
  </cols>
  <sheetData>
    <row r="1" spans="1:12" ht="23.5" x14ac:dyDescent="0.55000000000000004">
      <c r="B1" s="191" t="s">
        <v>227</v>
      </c>
    </row>
    <row r="3" spans="1:12" x14ac:dyDescent="0.35">
      <c r="A3" s="229"/>
      <c r="B3" s="40" t="s">
        <v>176</v>
      </c>
      <c r="E3" s="229"/>
    </row>
    <row r="4" spans="1:12" x14ac:dyDescent="0.35">
      <c r="A4" s="229"/>
      <c r="B4" s="40" t="s">
        <v>177</v>
      </c>
      <c r="E4" s="229"/>
    </row>
    <row r="5" spans="1:12" x14ac:dyDescent="0.35">
      <c r="A5" s="229"/>
      <c r="B5" s="40" t="s">
        <v>178</v>
      </c>
      <c r="E5" s="229"/>
    </row>
    <row r="6" spans="1:12" s="125" customFormat="1" ht="21" x14ac:dyDescent="0.5">
      <c r="A6" s="230"/>
      <c r="B6" s="124" t="s">
        <v>132</v>
      </c>
      <c r="E6" s="230"/>
    </row>
    <row r="7" spans="1:12" s="127" customFormat="1" ht="43.5" customHeight="1" x14ac:dyDescent="0.5">
      <c r="A7" s="231"/>
      <c r="B7" s="128" t="s">
        <v>194</v>
      </c>
      <c r="E7" s="231"/>
    </row>
    <row r="8" spans="1:12" x14ac:dyDescent="0.35">
      <c r="B8" s="40" t="s">
        <v>133</v>
      </c>
      <c r="H8" s="229"/>
      <c r="I8" s="232" t="s">
        <v>67</v>
      </c>
      <c r="J8" s="229"/>
      <c r="K8" s="229"/>
      <c r="L8" s="229"/>
    </row>
    <row r="9" spans="1:12" ht="29" x14ac:dyDescent="0.35">
      <c r="A9" s="168"/>
      <c r="B9" s="181"/>
      <c r="C9" s="173" t="s">
        <v>13</v>
      </c>
      <c r="D9" s="173" t="s">
        <v>21</v>
      </c>
      <c r="E9" s="174" t="s">
        <v>37</v>
      </c>
      <c r="H9" s="168"/>
      <c r="I9" s="164"/>
      <c r="J9" s="173" t="s">
        <v>13</v>
      </c>
      <c r="K9" s="173" t="s">
        <v>21</v>
      </c>
      <c r="L9" s="174" t="s">
        <v>37</v>
      </c>
    </row>
    <row r="10" spans="1:12" x14ac:dyDescent="0.35">
      <c r="A10" s="169">
        <v>9</v>
      </c>
      <c r="B10" s="175" t="s">
        <v>82</v>
      </c>
      <c r="C10" s="176" t="e">
        <f t="shared" ref="C10:C27" si="0">IF(INDEX(Q3_Paeds,4+$A10,7)="No data",NA(),INDEX(Q3_Paeds,4+$A10,7))</f>
        <v>#N/A</v>
      </c>
      <c r="D10" s="176" t="e">
        <f t="shared" ref="D10:D27" si="1">IF(INDEX(Q3_Paeds,4+$A10,8)="No data",NA(),INDEX(Q3_Paeds,4+$A10,8))</f>
        <v>#N/A</v>
      </c>
      <c r="E10" s="177" t="e">
        <f t="shared" ref="E10:E27" si="2">MAX(C10:D10)</f>
        <v>#N/A</v>
      </c>
      <c r="H10" s="169">
        <v>9</v>
      </c>
      <c r="I10" s="175" t="s">
        <v>82</v>
      </c>
      <c r="J10" s="176" t="e">
        <f t="shared" ref="J10:J27" si="3">IF(INDEX(Q3_Adult,4+$H10,7)="No data",NA(),INDEX(Q3_Adult,4+$H10,7))</f>
        <v>#N/A</v>
      </c>
      <c r="K10" s="176" t="e">
        <f t="shared" ref="K10:K27" si="4">IF(INDEX(Q3_Adult,4+$H10,8)="No data",NA(),INDEX(Q3_Adult,4+$H10,8))</f>
        <v>#N/A</v>
      </c>
      <c r="L10" s="177" t="e">
        <f t="shared" ref="L10:L27" si="5">MAX(J10:K10)</f>
        <v>#N/A</v>
      </c>
    </row>
    <row r="11" spans="1:12" x14ac:dyDescent="0.35">
      <c r="A11" s="169">
        <v>14</v>
      </c>
      <c r="B11" s="175" t="s">
        <v>86</v>
      </c>
      <c r="C11" s="176" t="e">
        <f t="shared" si="0"/>
        <v>#N/A</v>
      </c>
      <c r="D11" s="176" t="e">
        <f t="shared" si="1"/>
        <v>#N/A</v>
      </c>
      <c r="E11" s="177" t="e">
        <f t="shared" si="2"/>
        <v>#N/A</v>
      </c>
      <c r="H11" s="169">
        <v>10</v>
      </c>
      <c r="I11" s="175" t="s">
        <v>83</v>
      </c>
      <c r="J11" s="176" t="e">
        <f t="shared" si="3"/>
        <v>#N/A</v>
      </c>
      <c r="K11" s="176" t="e">
        <f t="shared" si="4"/>
        <v>#N/A</v>
      </c>
      <c r="L11" s="177" t="e">
        <f t="shared" si="5"/>
        <v>#N/A</v>
      </c>
    </row>
    <row r="12" spans="1:12" x14ac:dyDescent="0.35">
      <c r="A12" s="169">
        <v>2</v>
      </c>
      <c r="B12" s="175" t="s">
        <v>196</v>
      </c>
      <c r="C12" s="321">
        <f t="shared" si="0"/>
        <v>0</v>
      </c>
      <c r="D12" s="321">
        <f t="shared" si="1"/>
        <v>0</v>
      </c>
      <c r="E12" s="322">
        <f t="shared" si="2"/>
        <v>0</v>
      </c>
      <c r="H12" s="169">
        <v>12</v>
      </c>
      <c r="I12" s="175" t="s">
        <v>84</v>
      </c>
      <c r="J12" s="176" t="e">
        <f t="shared" si="3"/>
        <v>#N/A</v>
      </c>
      <c r="K12" s="176" t="e">
        <f t="shared" si="4"/>
        <v>#N/A</v>
      </c>
      <c r="L12" s="177" t="e">
        <f t="shared" si="5"/>
        <v>#N/A</v>
      </c>
    </row>
    <row r="13" spans="1:12" x14ac:dyDescent="0.35">
      <c r="A13" s="169">
        <v>17</v>
      </c>
      <c r="B13" s="175" t="s">
        <v>70</v>
      </c>
      <c r="C13" s="321">
        <f t="shared" si="0"/>
        <v>4</v>
      </c>
      <c r="D13" s="321">
        <f t="shared" si="1"/>
        <v>5</v>
      </c>
      <c r="E13" s="322">
        <f t="shared" si="2"/>
        <v>5</v>
      </c>
      <c r="H13" s="169">
        <v>15</v>
      </c>
      <c r="I13" s="175" t="s">
        <v>60</v>
      </c>
      <c r="J13" s="176" t="e">
        <f t="shared" si="3"/>
        <v>#N/A</v>
      </c>
      <c r="K13" s="176" t="e">
        <f t="shared" si="4"/>
        <v>#N/A</v>
      </c>
      <c r="L13" s="177" t="e">
        <f t="shared" si="5"/>
        <v>#N/A</v>
      </c>
    </row>
    <row r="14" spans="1:12" x14ac:dyDescent="0.35">
      <c r="A14" s="169">
        <v>3</v>
      </c>
      <c r="B14" s="175" t="s">
        <v>197</v>
      </c>
      <c r="C14" s="321">
        <f t="shared" si="0"/>
        <v>4</v>
      </c>
      <c r="D14" s="321">
        <f t="shared" si="1"/>
        <v>8</v>
      </c>
      <c r="E14" s="322">
        <f t="shared" si="2"/>
        <v>8</v>
      </c>
      <c r="H14" s="169">
        <v>18</v>
      </c>
      <c r="I14" s="175" t="s">
        <v>87</v>
      </c>
      <c r="J14" s="176" t="e">
        <f t="shared" si="3"/>
        <v>#N/A</v>
      </c>
      <c r="K14" s="176" t="e">
        <f t="shared" si="4"/>
        <v>#N/A</v>
      </c>
      <c r="L14" s="177" t="e">
        <f t="shared" si="5"/>
        <v>#N/A</v>
      </c>
    </row>
    <row r="15" spans="1:12" x14ac:dyDescent="0.35">
      <c r="A15" s="169">
        <v>15</v>
      </c>
      <c r="B15" s="175" t="s">
        <v>60</v>
      </c>
      <c r="C15" s="321">
        <f t="shared" si="0"/>
        <v>7</v>
      </c>
      <c r="D15" s="321">
        <f t="shared" si="1"/>
        <v>8</v>
      </c>
      <c r="E15" s="322">
        <f t="shared" si="2"/>
        <v>8</v>
      </c>
      <c r="H15" s="169">
        <v>8</v>
      </c>
      <c r="I15" s="175" t="s">
        <v>200</v>
      </c>
      <c r="J15" s="176" t="e">
        <f t="shared" si="3"/>
        <v>#N/A</v>
      </c>
      <c r="K15" s="176" t="e">
        <f t="shared" si="4"/>
        <v>#N/A</v>
      </c>
      <c r="L15" s="177" t="e">
        <f t="shared" si="5"/>
        <v>#N/A</v>
      </c>
    </row>
    <row r="16" spans="1:12" x14ac:dyDescent="0.35">
      <c r="A16" s="169">
        <v>18</v>
      </c>
      <c r="B16" s="175" t="s">
        <v>87</v>
      </c>
      <c r="C16" s="321">
        <f t="shared" si="0"/>
        <v>9</v>
      </c>
      <c r="D16" s="321">
        <f t="shared" si="1"/>
        <v>8</v>
      </c>
      <c r="E16" s="322">
        <f t="shared" si="2"/>
        <v>9</v>
      </c>
      <c r="H16" s="169">
        <v>1</v>
      </c>
      <c r="I16" s="175" t="s">
        <v>195</v>
      </c>
      <c r="J16" s="176">
        <f t="shared" si="3"/>
        <v>0</v>
      </c>
      <c r="K16" s="176">
        <f t="shared" si="4"/>
        <v>0</v>
      </c>
      <c r="L16" s="177">
        <f t="shared" si="5"/>
        <v>0</v>
      </c>
    </row>
    <row r="17" spans="1:16" x14ac:dyDescent="0.35">
      <c r="A17" s="169">
        <v>12</v>
      </c>
      <c r="B17" s="175" t="s">
        <v>84</v>
      </c>
      <c r="C17" s="321">
        <f t="shared" si="0"/>
        <v>9</v>
      </c>
      <c r="D17" s="321">
        <f t="shared" si="1"/>
        <v>12</v>
      </c>
      <c r="E17" s="322">
        <f t="shared" si="2"/>
        <v>12</v>
      </c>
      <c r="H17" s="169">
        <v>4</v>
      </c>
      <c r="I17" s="175" t="s">
        <v>198</v>
      </c>
      <c r="J17" s="176">
        <f t="shared" si="3"/>
        <v>0</v>
      </c>
      <c r="K17" s="176">
        <f t="shared" si="4"/>
        <v>0</v>
      </c>
      <c r="L17" s="177">
        <f t="shared" si="5"/>
        <v>0</v>
      </c>
    </row>
    <row r="18" spans="1:16" x14ac:dyDescent="0.35">
      <c r="A18" s="169">
        <v>5</v>
      </c>
      <c r="B18" s="175" t="s">
        <v>199</v>
      </c>
      <c r="C18" s="321">
        <f t="shared" si="0"/>
        <v>11.96</v>
      </c>
      <c r="D18" s="321">
        <f t="shared" si="1"/>
        <v>14.6</v>
      </c>
      <c r="E18" s="322">
        <f t="shared" si="2"/>
        <v>14.6</v>
      </c>
      <c r="H18" s="169">
        <v>5</v>
      </c>
      <c r="I18" s="175" t="s">
        <v>199</v>
      </c>
      <c r="J18" s="176">
        <f t="shared" si="3"/>
        <v>0</v>
      </c>
      <c r="K18" s="176">
        <f t="shared" si="4"/>
        <v>0</v>
      </c>
      <c r="L18" s="177">
        <f t="shared" si="5"/>
        <v>0</v>
      </c>
    </row>
    <row r="19" spans="1:16" x14ac:dyDescent="0.35">
      <c r="A19" s="169">
        <v>13</v>
      </c>
      <c r="B19" s="175" t="s">
        <v>74</v>
      </c>
      <c r="C19" s="321">
        <f t="shared" si="0"/>
        <v>11</v>
      </c>
      <c r="D19" s="321">
        <f t="shared" si="1"/>
        <v>15</v>
      </c>
      <c r="E19" s="322">
        <f t="shared" si="2"/>
        <v>15</v>
      </c>
      <c r="H19" s="169">
        <v>7</v>
      </c>
      <c r="I19" s="175" t="s">
        <v>203</v>
      </c>
      <c r="J19" s="176">
        <f t="shared" si="3"/>
        <v>0</v>
      </c>
      <c r="K19" s="176">
        <f t="shared" si="4"/>
        <v>0</v>
      </c>
      <c r="L19" s="177">
        <f t="shared" si="5"/>
        <v>0</v>
      </c>
    </row>
    <row r="20" spans="1:16" x14ac:dyDescent="0.35">
      <c r="A20" s="169">
        <v>8</v>
      </c>
      <c r="B20" s="175" t="s">
        <v>200</v>
      </c>
      <c r="C20" s="321">
        <f t="shared" si="0"/>
        <v>11</v>
      </c>
      <c r="D20" s="321">
        <f t="shared" si="1"/>
        <v>17</v>
      </c>
      <c r="E20" s="322">
        <f t="shared" si="2"/>
        <v>17</v>
      </c>
      <c r="H20" s="169">
        <v>16</v>
      </c>
      <c r="I20" s="175" t="s">
        <v>75</v>
      </c>
      <c r="J20" s="176">
        <f t="shared" si="3"/>
        <v>8</v>
      </c>
      <c r="K20" s="176">
        <f t="shared" si="4"/>
        <v>8</v>
      </c>
      <c r="L20" s="177">
        <f t="shared" si="5"/>
        <v>8</v>
      </c>
    </row>
    <row r="21" spans="1:16" x14ac:dyDescent="0.35">
      <c r="A21" s="169">
        <v>4</v>
      </c>
      <c r="B21" s="175" t="s">
        <v>198</v>
      </c>
      <c r="C21" s="321">
        <f t="shared" si="0"/>
        <v>10.97</v>
      </c>
      <c r="D21" s="321">
        <f t="shared" si="1"/>
        <v>24</v>
      </c>
      <c r="E21" s="322">
        <f t="shared" si="2"/>
        <v>24</v>
      </c>
      <c r="H21" s="169">
        <v>13</v>
      </c>
      <c r="I21" s="175" t="s">
        <v>74</v>
      </c>
      <c r="J21" s="176">
        <f t="shared" si="3"/>
        <v>10</v>
      </c>
      <c r="K21" s="176">
        <f t="shared" si="4"/>
        <v>10</v>
      </c>
      <c r="L21" s="177">
        <f t="shared" si="5"/>
        <v>10</v>
      </c>
      <c r="P21" s="39" t="s">
        <v>73</v>
      </c>
    </row>
    <row r="22" spans="1:16" x14ac:dyDescent="0.35">
      <c r="A22" s="169">
        <v>10</v>
      </c>
      <c r="B22" s="175" t="s">
        <v>83</v>
      </c>
      <c r="C22" s="321">
        <f t="shared" si="0"/>
        <v>24</v>
      </c>
      <c r="D22" s="321">
        <f t="shared" si="1"/>
        <v>8</v>
      </c>
      <c r="E22" s="322">
        <f t="shared" si="2"/>
        <v>24</v>
      </c>
      <c r="H22" s="169">
        <v>6</v>
      </c>
      <c r="I22" s="175" t="s">
        <v>202</v>
      </c>
      <c r="J22" s="176">
        <f t="shared" si="3"/>
        <v>0</v>
      </c>
      <c r="K22" s="176">
        <f t="shared" si="4"/>
        <v>12</v>
      </c>
      <c r="L22" s="177">
        <f t="shared" si="5"/>
        <v>12</v>
      </c>
    </row>
    <row r="23" spans="1:16" x14ac:dyDescent="0.35">
      <c r="A23" s="169">
        <v>1</v>
      </c>
      <c r="B23" s="175" t="s">
        <v>195</v>
      </c>
      <c r="C23" s="321">
        <f t="shared" si="0"/>
        <v>21</v>
      </c>
      <c r="D23" s="321">
        <f t="shared" si="1"/>
        <v>25</v>
      </c>
      <c r="E23" s="322">
        <f t="shared" si="2"/>
        <v>25</v>
      </c>
      <c r="H23" s="169">
        <v>11</v>
      </c>
      <c r="I23" s="175" t="s">
        <v>201</v>
      </c>
      <c r="J23" s="176">
        <f t="shared" si="3"/>
        <v>12</v>
      </c>
      <c r="K23" s="176" t="str">
        <f t="shared" si="4"/>
        <v>N/A</v>
      </c>
      <c r="L23" s="177">
        <f t="shared" si="5"/>
        <v>12</v>
      </c>
    </row>
    <row r="24" spans="1:16" x14ac:dyDescent="0.35">
      <c r="A24" s="169">
        <v>6</v>
      </c>
      <c r="B24" s="175" t="s">
        <v>202</v>
      </c>
      <c r="C24" s="321">
        <f t="shared" si="0"/>
        <v>35</v>
      </c>
      <c r="D24" s="321">
        <f t="shared" si="1"/>
        <v>38</v>
      </c>
      <c r="E24" s="322">
        <f t="shared" si="2"/>
        <v>38</v>
      </c>
      <c r="H24" s="169">
        <v>2</v>
      </c>
      <c r="I24" s="175" t="s">
        <v>196</v>
      </c>
      <c r="J24" s="176">
        <f t="shared" si="3"/>
        <v>18</v>
      </c>
      <c r="K24" s="176">
        <f t="shared" si="4"/>
        <v>0</v>
      </c>
      <c r="L24" s="177">
        <f t="shared" si="5"/>
        <v>18</v>
      </c>
    </row>
    <row r="25" spans="1:16" x14ac:dyDescent="0.35">
      <c r="A25" s="169">
        <v>16</v>
      </c>
      <c r="B25" s="175" t="s">
        <v>75</v>
      </c>
      <c r="C25" s="321">
        <f t="shared" si="0"/>
        <v>43</v>
      </c>
      <c r="D25" s="321">
        <f t="shared" si="1"/>
        <v>43</v>
      </c>
      <c r="E25" s="322">
        <f t="shared" si="2"/>
        <v>43</v>
      </c>
      <c r="H25" s="169">
        <v>14</v>
      </c>
      <c r="I25" s="175" t="s">
        <v>86</v>
      </c>
      <c r="J25" s="176">
        <f t="shared" si="3"/>
        <v>26</v>
      </c>
      <c r="K25" s="176">
        <f t="shared" si="4"/>
        <v>0</v>
      </c>
      <c r="L25" s="177">
        <f t="shared" si="5"/>
        <v>26</v>
      </c>
    </row>
    <row r="26" spans="1:16" x14ac:dyDescent="0.35">
      <c r="A26" s="169">
        <v>7</v>
      </c>
      <c r="B26" s="175" t="s">
        <v>203</v>
      </c>
      <c r="C26" s="321">
        <f t="shared" si="0"/>
        <v>24</v>
      </c>
      <c r="D26" s="321">
        <f t="shared" si="1"/>
        <v>48</v>
      </c>
      <c r="E26" s="322">
        <f t="shared" si="2"/>
        <v>48</v>
      </c>
      <c r="H26" s="169">
        <v>17</v>
      </c>
      <c r="I26" s="175" t="s">
        <v>70</v>
      </c>
      <c r="J26" s="176">
        <f t="shared" si="3"/>
        <v>0</v>
      </c>
      <c r="K26" s="176">
        <f t="shared" si="4"/>
        <v>36</v>
      </c>
      <c r="L26" s="177">
        <f t="shared" si="5"/>
        <v>36</v>
      </c>
    </row>
    <row r="27" spans="1:16" x14ac:dyDescent="0.35">
      <c r="A27" s="170">
        <v>11</v>
      </c>
      <c r="B27" s="178" t="s">
        <v>201</v>
      </c>
      <c r="C27" s="323">
        <f t="shared" si="0"/>
        <v>69</v>
      </c>
      <c r="D27" s="323">
        <f t="shared" si="1"/>
        <v>0</v>
      </c>
      <c r="E27" s="324">
        <f t="shared" si="2"/>
        <v>69</v>
      </c>
      <c r="H27" s="170">
        <v>3</v>
      </c>
      <c r="I27" s="178" t="s">
        <v>197</v>
      </c>
      <c r="J27" s="179">
        <f t="shared" si="3"/>
        <v>0</v>
      </c>
      <c r="K27" s="179">
        <f t="shared" si="4"/>
        <v>52</v>
      </c>
      <c r="L27" s="180">
        <f t="shared" si="5"/>
        <v>52</v>
      </c>
    </row>
    <row r="31" spans="1:16" s="126" customFormat="1" ht="18.5" x14ac:dyDescent="0.45">
      <c r="B31" s="126" t="s">
        <v>134</v>
      </c>
    </row>
    <row r="32" spans="1:16" s="127" customFormat="1" ht="43.5" customHeight="1" x14ac:dyDescent="0.5">
      <c r="B32" s="128" t="s">
        <v>137</v>
      </c>
    </row>
    <row r="33" spans="1:13" x14ac:dyDescent="0.35">
      <c r="B33" s="54"/>
      <c r="C33" s="311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15" customHeight="1" x14ac:dyDescent="0.35">
      <c r="A34" s="50"/>
      <c r="B34" s="158" t="s">
        <v>98</v>
      </c>
      <c r="C34" s="50"/>
      <c r="D34" s="50"/>
      <c r="E34" s="50"/>
      <c r="F34" s="158"/>
      <c r="G34" s="158"/>
      <c r="H34" s="54"/>
      <c r="I34" s="158" t="s">
        <v>96</v>
      </c>
      <c r="J34" s="160"/>
      <c r="K34" s="161"/>
      <c r="L34" s="161"/>
      <c r="M34" s="161"/>
    </row>
    <row r="35" spans="1:13" x14ac:dyDescent="0.35">
      <c r="A35" s="168"/>
      <c r="B35" s="164"/>
      <c r="C35" s="164" t="s">
        <v>119</v>
      </c>
      <c r="D35" s="164" t="s">
        <v>120</v>
      </c>
      <c r="E35" s="164" t="s">
        <v>40</v>
      </c>
      <c r="F35" s="165" t="s">
        <v>226</v>
      </c>
      <c r="G35" s="158"/>
      <c r="H35" s="162"/>
      <c r="I35" s="163"/>
      <c r="J35" s="164" t="s">
        <v>119</v>
      </c>
      <c r="K35" s="164" t="s">
        <v>120</v>
      </c>
      <c r="L35" s="164" t="s">
        <v>40</v>
      </c>
      <c r="M35" s="165" t="s">
        <v>226</v>
      </c>
    </row>
    <row r="36" spans="1:13" x14ac:dyDescent="0.35">
      <c r="A36" s="169">
        <v>1</v>
      </c>
      <c r="B36" s="175" t="s">
        <v>195</v>
      </c>
      <c r="C36" s="176" t="e">
        <f t="shared" ref="C36:C53" si="6">IF(INDEX(Q3_Paeds,4+$A36,10)="No data",NA(),INDEX(Q3_Paeds,4+$A36,10))</f>
        <v>#N/A</v>
      </c>
      <c r="D36" s="176" t="e">
        <f t="shared" ref="D36:D53" si="7">IF(INDEX(Q3_Paeds,4+$A36,11)="No data",NA(),INDEX(Q3_Paeds,4+$A36,11))</f>
        <v>#N/A</v>
      </c>
      <c r="E36" s="176" t="e">
        <f t="shared" ref="E36:E53" si="8">IF(INDEX(Q3_Paeds,4+$A36,12)="No data",NA(),INDEX(Q3_Paeds,4+$A36,12))</f>
        <v>#N/A</v>
      </c>
      <c r="F36" s="166" t="e">
        <f t="shared" ref="F36:F53" si="9">SUM(C36:E36)</f>
        <v>#N/A</v>
      </c>
      <c r="G36" s="159"/>
      <c r="H36" s="169">
        <v>9</v>
      </c>
      <c r="I36" s="175" t="s">
        <v>82</v>
      </c>
      <c r="J36" s="176" t="e">
        <f t="shared" ref="J36:J53" si="10">IF(INDEX(Q3_Adult,4+$H36,10)="No data",NA(),INDEX(Q3_Adult,4+$H36,10))</f>
        <v>#N/A</v>
      </c>
      <c r="K36" s="176" t="e">
        <f t="shared" ref="K36:K53" si="11">IF(INDEX(Q3_Adult,4+$H36,11)="No data",NA(),INDEX(Q3_Adult,4+$H36,11))</f>
        <v>#N/A</v>
      </c>
      <c r="L36" s="176" t="e">
        <f t="shared" ref="L36:L53" si="12">IF(INDEX(Q3_Adult,4+$H36,12)="No data",NA(),INDEX(Q3_Adult,4+$H36,12))</f>
        <v>#N/A</v>
      </c>
      <c r="M36" s="166" t="e">
        <f t="shared" ref="M36:M53" si="13">SUM(J36:L36)</f>
        <v>#N/A</v>
      </c>
    </row>
    <row r="37" spans="1:13" x14ac:dyDescent="0.35">
      <c r="A37" s="169">
        <v>9</v>
      </c>
      <c r="B37" s="175" t="s">
        <v>82</v>
      </c>
      <c r="C37" s="176" t="e">
        <f t="shared" si="6"/>
        <v>#N/A</v>
      </c>
      <c r="D37" s="176" t="e">
        <f t="shared" si="7"/>
        <v>#N/A</v>
      </c>
      <c r="E37" s="176" t="e">
        <f t="shared" si="8"/>
        <v>#N/A</v>
      </c>
      <c r="F37" s="166" t="e">
        <f t="shared" si="9"/>
        <v>#N/A</v>
      </c>
      <c r="G37" s="159"/>
      <c r="H37" s="169">
        <v>10</v>
      </c>
      <c r="I37" s="175" t="s">
        <v>83</v>
      </c>
      <c r="J37" s="176" t="e">
        <f t="shared" si="10"/>
        <v>#N/A</v>
      </c>
      <c r="K37" s="176" t="e">
        <f t="shared" si="11"/>
        <v>#N/A</v>
      </c>
      <c r="L37" s="176" t="e">
        <f t="shared" si="12"/>
        <v>#N/A</v>
      </c>
      <c r="M37" s="166" t="e">
        <f t="shared" si="13"/>
        <v>#N/A</v>
      </c>
    </row>
    <row r="38" spans="1:13" x14ac:dyDescent="0.35">
      <c r="A38" s="169">
        <v>14</v>
      </c>
      <c r="B38" s="175" t="s">
        <v>86</v>
      </c>
      <c r="C38" s="176" t="e">
        <f t="shared" si="6"/>
        <v>#N/A</v>
      </c>
      <c r="D38" s="176" t="e">
        <f t="shared" si="7"/>
        <v>#N/A</v>
      </c>
      <c r="E38" s="176" t="e">
        <f t="shared" si="8"/>
        <v>#N/A</v>
      </c>
      <c r="F38" s="166" t="e">
        <f t="shared" si="9"/>
        <v>#N/A</v>
      </c>
      <c r="G38" s="159"/>
      <c r="H38" s="169">
        <v>12</v>
      </c>
      <c r="I38" s="175" t="s">
        <v>84</v>
      </c>
      <c r="J38" s="176" t="e">
        <f t="shared" si="10"/>
        <v>#N/A</v>
      </c>
      <c r="K38" s="176" t="e">
        <f t="shared" si="11"/>
        <v>#N/A</v>
      </c>
      <c r="L38" s="176" t="e">
        <f t="shared" si="12"/>
        <v>#N/A</v>
      </c>
      <c r="M38" s="166" t="e">
        <f t="shared" si="13"/>
        <v>#N/A</v>
      </c>
    </row>
    <row r="39" spans="1:13" x14ac:dyDescent="0.35">
      <c r="A39" s="169">
        <v>3</v>
      </c>
      <c r="B39" s="175" t="s">
        <v>197</v>
      </c>
      <c r="C39" s="176">
        <f t="shared" si="6"/>
        <v>0</v>
      </c>
      <c r="D39" s="176">
        <f t="shared" si="7"/>
        <v>0</v>
      </c>
      <c r="E39" s="176">
        <f t="shared" si="8"/>
        <v>0</v>
      </c>
      <c r="F39" s="166">
        <f t="shared" si="9"/>
        <v>0</v>
      </c>
      <c r="G39" s="159"/>
      <c r="H39" s="169">
        <v>15</v>
      </c>
      <c r="I39" s="175" t="s">
        <v>60</v>
      </c>
      <c r="J39" s="176" t="e">
        <f t="shared" si="10"/>
        <v>#N/A</v>
      </c>
      <c r="K39" s="176" t="e">
        <f t="shared" si="11"/>
        <v>#N/A</v>
      </c>
      <c r="L39" s="176" t="e">
        <f t="shared" si="12"/>
        <v>#N/A</v>
      </c>
      <c r="M39" s="166" t="e">
        <f t="shared" si="13"/>
        <v>#N/A</v>
      </c>
    </row>
    <row r="40" spans="1:13" x14ac:dyDescent="0.35">
      <c r="A40" s="169">
        <v>6</v>
      </c>
      <c r="B40" s="175" t="s">
        <v>202</v>
      </c>
      <c r="C40" s="176">
        <f t="shared" si="6"/>
        <v>0</v>
      </c>
      <c r="D40" s="176">
        <f t="shared" si="7"/>
        <v>0</v>
      </c>
      <c r="E40" s="176">
        <f t="shared" si="8"/>
        <v>0</v>
      </c>
      <c r="F40" s="166">
        <f t="shared" si="9"/>
        <v>0</v>
      </c>
      <c r="G40" s="159"/>
      <c r="H40" s="169">
        <v>18</v>
      </c>
      <c r="I40" s="175" t="s">
        <v>87</v>
      </c>
      <c r="J40" s="176" t="e">
        <f t="shared" si="10"/>
        <v>#N/A</v>
      </c>
      <c r="K40" s="176" t="e">
        <f t="shared" si="11"/>
        <v>#N/A</v>
      </c>
      <c r="L40" s="176" t="e">
        <f t="shared" si="12"/>
        <v>#N/A</v>
      </c>
      <c r="M40" s="166" t="e">
        <f t="shared" si="13"/>
        <v>#N/A</v>
      </c>
    </row>
    <row r="41" spans="1:13" x14ac:dyDescent="0.35">
      <c r="A41" s="169">
        <v>8</v>
      </c>
      <c r="B41" s="175" t="s">
        <v>200</v>
      </c>
      <c r="C41" s="176">
        <f t="shared" si="6"/>
        <v>0</v>
      </c>
      <c r="D41" s="176">
        <f t="shared" si="7"/>
        <v>0</v>
      </c>
      <c r="E41" s="176">
        <f t="shared" si="8"/>
        <v>0</v>
      </c>
      <c r="F41" s="166">
        <f t="shared" si="9"/>
        <v>0</v>
      </c>
      <c r="G41" s="159"/>
      <c r="H41" s="169">
        <v>3</v>
      </c>
      <c r="I41" s="175" t="s">
        <v>197</v>
      </c>
      <c r="J41" s="176">
        <f t="shared" si="10"/>
        <v>0</v>
      </c>
      <c r="K41" s="176">
        <f t="shared" si="11"/>
        <v>0</v>
      </c>
      <c r="L41" s="176">
        <f t="shared" si="12"/>
        <v>0</v>
      </c>
      <c r="M41" s="166">
        <f t="shared" si="13"/>
        <v>0</v>
      </c>
    </row>
    <row r="42" spans="1:13" x14ac:dyDescent="0.35">
      <c r="A42" s="169">
        <v>15</v>
      </c>
      <c r="B42" s="175" t="s">
        <v>60</v>
      </c>
      <c r="C42" s="176">
        <f t="shared" si="6"/>
        <v>0</v>
      </c>
      <c r="D42" s="176">
        <f t="shared" si="7"/>
        <v>0</v>
      </c>
      <c r="E42" s="176">
        <f t="shared" si="8"/>
        <v>0</v>
      </c>
      <c r="F42" s="166">
        <f t="shared" si="9"/>
        <v>0</v>
      </c>
      <c r="G42" s="159"/>
      <c r="H42" s="169">
        <v>4</v>
      </c>
      <c r="I42" s="175" t="s">
        <v>198</v>
      </c>
      <c r="J42" s="176">
        <f t="shared" si="10"/>
        <v>0</v>
      </c>
      <c r="K42" s="176">
        <f t="shared" si="11"/>
        <v>0</v>
      </c>
      <c r="L42" s="176">
        <f t="shared" si="12"/>
        <v>0</v>
      </c>
      <c r="M42" s="166">
        <f t="shared" si="13"/>
        <v>0</v>
      </c>
    </row>
    <row r="43" spans="1:13" x14ac:dyDescent="0.35">
      <c r="A43" s="169">
        <v>18</v>
      </c>
      <c r="B43" s="175" t="s">
        <v>87</v>
      </c>
      <c r="C43" s="176">
        <f t="shared" si="6"/>
        <v>0</v>
      </c>
      <c r="D43" s="176">
        <f t="shared" si="7"/>
        <v>0</v>
      </c>
      <c r="E43" s="176">
        <f t="shared" si="8"/>
        <v>0</v>
      </c>
      <c r="F43" s="166">
        <f t="shared" si="9"/>
        <v>0</v>
      </c>
      <c r="G43" s="159"/>
      <c r="H43" s="169">
        <v>5</v>
      </c>
      <c r="I43" s="175" t="s">
        <v>199</v>
      </c>
      <c r="J43" s="176">
        <f t="shared" si="10"/>
        <v>0</v>
      </c>
      <c r="K43" s="176">
        <f t="shared" si="11"/>
        <v>0</v>
      </c>
      <c r="L43" s="176">
        <f t="shared" si="12"/>
        <v>0</v>
      </c>
      <c r="M43" s="166">
        <f t="shared" si="13"/>
        <v>0</v>
      </c>
    </row>
    <row r="44" spans="1:13" x14ac:dyDescent="0.35">
      <c r="A44" s="169">
        <v>4</v>
      </c>
      <c r="B44" s="175" t="s">
        <v>198</v>
      </c>
      <c r="C44" s="176">
        <f t="shared" si="6"/>
        <v>2</v>
      </c>
      <c r="D44" s="176">
        <f t="shared" si="7"/>
        <v>0</v>
      </c>
      <c r="E44" s="176">
        <f t="shared" si="8"/>
        <v>0</v>
      </c>
      <c r="F44" s="166">
        <f t="shared" si="9"/>
        <v>2</v>
      </c>
      <c r="G44" s="159"/>
      <c r="H44" s="169">
        <v>6</v>
      </c>
      <c r="I44" s="175" t="s">
        <v>202</v>
      </c>
      <c r="J44" s="176">
        <f t="shared" si="10"/>
        <v>0</v>
      </c>
      <c r="K44" s="176">
        <f t="shared" si="11"/>
        <v>0</v>
      </c>
      <c r="L44" s="176">
        <f t="shared" si="12"/>
        <v>0</v>
      </c>
      <c r="M44" s="166">
        <f t="shared" si="13"/>
        <v>0</v>
      </c>
    </row>
    <row r="45" spans="1:13" x14ac:dyDescent="0.35">
      <c r="A45" s="169">
        <v>7</v>
      </c>
      <c r="B45" s="175" t="s">
        <v>203</v>
      </c>
      <c r="C45" s="176">
        <f t="shared" si="6"/>
        <v>3</v>
      </c>
      <c r="D45" s="176">
        <f t="shared" si="7"/>
        <v>1</v>
      </c>
      <c r="E45" s="176">
        <f t="shared" si="8"/>
        <v>0</v>
      </c>
      <c r="F45" s="166">
        <f t="shared" si="9"/>
        <v>4</v>
      </c>
      <c r="G45" s="159"/>
      <c r="H45" s="169">
        <v>7</v>
      </c>
      <c r="I45" s="175" t="s">
        <v>203</v>
      </c>
      <c r="J45" s="176">
        <f t="shared" si="10"/>
        <v>0</v>
      </c>
      <c r="K45" s="176">
        <f t="shared" si="11"/>
        <v>0</v>
      </c>
      <c r="L45" s="176">
        <f t="shared" si="12"/>
        <v>0</v>
      </c>
      <c r="M45" s="166">
        <f t="shared" si="13"/>
        <v>0</v>
      </c>
    </row>
    <row r="46" spans="1:13" x14ac:dyDescent="0.35">
      <c r="A46" s="169">
        <v>10</v>
      </c>
      <c r="B46" s="175" t="s">
        <v>83</v>
      </c>
      <c r="C46" s="176">
        <f t="shared" si="6"/>
        <v>8</v>
      </c>
      <c r="D46" s="176">
        <f t="shared" si="7"/>
        <v>0</v>
      </c>
      <c r="E46" s="176">
        <f t="shared" si="8"/>
        <v>0</v>
      </c>
      <c r="F46" s="166">
        <f t="shared" si="9"/>
        <v>8</v>
      </c>
      <c r="G46" s="159"/>
      <c r="H46" s="169">
        <v>8</v>
      </c>
      <c r="I46" s="175" t="s">
        <v>200</v>
      </c>
      <c r="J46" s="176">
        <f t="shared" si="10"/>
        <v>0</v>
      </c>
      <c r="K46" s="176">
        <f t="shared" si="11"/>
        <v>0</v>
      </c>
      <c r="L46" s="176">
        <f t="shared" si="12"/>
        <v>0</v>
      </c>
      <c r="M46" s="166">
        <f t="shared" si="13"/>
        <v>0</v>
      </c>
    </row>
    <row r="47" spans="1:13" x14ac:dyDescent="0.35">
      <c r="A47" s="169">
        <v>5</v>
      </c>
      <c r="B47" s="175" t="s">
        <v>199</v>
      </c>
      <c r="C47" s="176">
        <f t="shared" si="6"/>
        <v>1</v>
      </c>
      <c r="D47" s="176">
        <f t="shared" si="7"/>
        <v>4</v>
      </c>
      <c r="E47" s="176">
        <f t="shared" si="8"/>
        <v>4</v>
      </c>
      <c r="F47" s="166">
        <f t="shared" si="9"/>
        <v>9</v>
      </c>
      <c r="G47" s="159"/>
      <c r="H47" s="169">
        <v>16</v>
      </c>
      <c r="I47" s="175" t="s">
        <v>75</v>
      </c>
      <c r="J47" s="176">
        <f t="shared" si="10"/>
        <v>3</v>
      </c>
      <c r="K47" s="176">
        <f t="shared" si="11"/>
        <v>0</v>
      </c>
      <c r="L47" s="176">
        <f t="shared" si="12"/>
        <v>0</v>
      </c>
      <c r="M47" s="166">
        <f t="shared" si="13"/>
        <v>3</v>
      </c>
    </row>
    <row r="48" spans="1:13" x14ac:dyDescent="0.35">
      <c r="A48" s="169">
        <v>16</v>
      </c>
      <c r="B48" s="175" t="s">
        <v>75</v>
      </c>
      <c r="C48" s="176">
        <f t="shared" si="6"/>
        <v>12</v>
      </c>
      <c r="D48" s="176">
        <f t="shared" si="7"/>
        <v>0</v>
      </c>
      <c r="E48" s="176">
        <f t="shared" si="8"/>
        <v>0</v>
      </c>
      <c r="F48" s="166">
        <f t="shared" si="9"/>
        <v>12</v>
      </c>
      <c r="G48" s="159"/>
      <c r="H48" s="169">
        <v>17</v>
      </c>
      <c r="I48" s="175" t="s">
        <v>70</v>
      </c>
      <c r="J48" s="176">
        <f t="shared" si="10"/>
        <v>13</v>
      </c>
      <c r="K48" s="176">
        <f t="shared" si="11"/>
        <v>0</v>
      </c>
      <c r="L48" s="176">
        <f t="shared" si="12"/>
        <v>0</v>
      </c>
      <c r="M48" s="166">
        <f t="shared" si="13"/>
        <v>13</v>
      </c>
    </row>
    <row r="49" spans="1:13" x14ac:dyDescent="0.35">
      <c r="A49" s="169">
        <v>17</v>
      </c>
      <c r="B49" s="175" t="s">
        <v>70</v>
      </c>
      <c r="C49" s="176">
        <f t="shared" si="6"/>
        <v>46</v>
      </c>
      <c r="D49" s="176">
        <f t="shared" si="7"/>
        <v>1</v>
      </c>
      <c r="E49" s="176">
        <f t="shared" si="8"/>
        <v>1</v>
      </c>
      <c r="F49" s="166">
        <f t="shared" si="9"/>
        <v>48</v>
      </c>
      <c r="G49" s="159"/>
      <c r="H49" s="169">
        <v>13</v>
      </c>
      <c r="I49" s="175" t="s">
        <v>74</v>
      </c>
      <c r="J49" s="176">
        <f t="shared" si="10"/>
        <v>8</v>
      </c>
      <c r="K49" s="176">
        <f t="shared" si="11"/>
        <v>28</v>
      </c>
      <c r="L49" s="176">
        <f t="shared" si="12"/>
        <v>17</v>
      </c>
      <c r="M49" s="166">
        <f t="shared" si="13"/>
        <v>53</v>
      </c>
    </row>
    <row r="50" spans="1:13" x14ac:dyDescent="0.35">
      <c r="A50" s="169">
        <v>12</v>
      </c>
      <c r="B50" s="175" t="s">
        <v>84</v>
      </c>
      <c r="C50" s="176">
        <f t="shared" si="6"/>
        <v>47</v>
      </c>
      <c r="D50" s="176">
        <f t="shared" si="7"/>
        <v>22</v>
      </c>
      <c r="E50" s="176">
        <f t="shared" si="8"/>
        <v>65</v>
      </c>
      <c r="F50" s="166">
        <f t="shared" si="9"/>
        <v>134</v>
      </c>
      <c r="G50" s="159"/>
      <c r="H50" s="169">
        <v>2</v>
      </c>
      <c r="I50" s="175" t="s">
        <v>196</v>
      </c>
      <c r="J50" s="176">
        <f t="shared" si="10"/>
        <v>29</v>
      </c>
      <c r="K50" s="176">
        <f t="shared" si="11"/>
        <v>59</v>
      </c>
      <c r="L50" s="176">
        <f t="shared" si="12"/>
        <v>28</v>
      </c>
      <c r="M50" s="166">
        <f t="shared" si="13"/>
        <v>116</v>
      </c>
    </row>
    <row r="51" spans="1:13" x14ac:dyDescent="0.35">
      <c r="A51" s="169">
        <v>13</v>
      </c>
      <c r="B51" s="175" t="s">
        <v>74</v>
      </c>
      <c r="C51" s="176">
        <f t="shared" si="6"/>
        <v>28</v>
      </c>
      <c r="D51" s="176">
        <f t="shared" si="7"/>
        <v>108</v>
      </c>
      <c r="E51" s="176">
        <f t="shared" si="8"/>
        <v>176</v>
      </c>
      <c r="F51" s="166">
        <f t="shared" si="9"/>
        <v>312</v>
      </c>
      <c r="G51" s="159"/>
      <c r="H51" s="169">
        <v>1</v>
      </c>
      <c r="I51" s="175" t="s">
        <v>195</v>
      </c>
      <c r="J51" s="176">
        <f t="shared" si="10"/>
        <v>126</v>
      </c>
      <c r="K51" s="176">
        <f t="shared" si="11"/>
        <v>100</v>
      </c>
      <c r="L51" s="176">
        <f t="shared" si="12"/>
        <v>58</v>
      </c>
      <c r="M51" s="166">
        <f t="shared" si="13"/>
        <v>284</v>
      </c>
    </row>
    <row r="52" spans="1:13" x14ac:dyDescent="0.35">
      <c r="A52" s="169">
        <v>2</v>
      </c>
      <c r="B52" s="175" t="s">
        <v>196</v>
      </c>
      <c r="C52" s="176">
        <f t="shared" si="6"/>
        <v>242</v>
      </c>
      <c r="D52" s="176">
        <f t="shared" si="7"/>
        <v>208</v>
      </c>
      <c r="E52" s="176">
        <f t="shared" si="8"/>
        <v>185</v>
      </c>
      <c r="F52" s="166">
        <f t="shared" si="9"/>
        <v>635</v>
      </c>
      <c r="G52" s="159"/>
      <c r="H52" s="169">
        <v>11</v>
      </c>
      <c r="I52" s="175" t="s">
        <v>201</v>
      </c>
      <c r="J52" s="176">
        <f t="shared" si="10"/>
        <v>258</v>
      </c>
      <c r="K52" s="176">
        <f t="shared" si="11"/>
        <v>195</v>
      </c>
      <c r="L52" s="176">
        <f t="shared" si="12"/>
        <v>66</v>
      </c>
      <c r="M52" s="166">
        <f t="shared" si="13"/>
        <v>519</v>
      </c>
    </row>
    <row r="53" spans="1:13" x14ac:dyDescent="0.35">
      <c r="A53" s="170">
        <v>11</v>
      </c>
      <c r="B53" s="178" t="s">
        <v>201</v>
      </c>
      <c r="C53" s="179">
        <f t="shared" si="6"/>
        <v>412</v>
      </c>
      <c r="D53" s="179">
        <f t="shared" si="7"/>
        <v>325</v>
      </c>
      <c r="E53" s="179">
        <f t="shared" si="8"/>
        <v>111</v>
      </c>
      <c r="F53" s="167">
        <f t="shared" si="9"/>
        <v>848</v>
      </c>
      <c r="G53" s="159"/>
      <c r="H53" s="170">
        <v>14</v>
      </c>
      <c r="I53" s="178" t="s">
        <v>86</v>
      </c>
      <c r="J53" s="179">
        <f t="shared" si="10"/>
        <v>123</v>
      </c>
      <c r="K53" s="179">
        <f t="shared" si="11"/>
        <v>245</v>
      </c>
      <c r="L53" s="179">
        <f t="shared" si="12"/>
        <v>179</v>
      </c>
      <c r="M53" s="167">
        <f t="shared" si="13"/>
        <v>547</v>
      </c>
    </row>
    <row r="54" spans="1:13" x14ac:dyDescent="0.35">
      <c r="A54" s="159"/>
    </row>
    <row r="55" spans="1:13" s="50" customFormat="1" x14ac:dyDescent="0.35">
      <c r="B55" s="92"/>
      <c r="C55" s="68"/>
      <c r="D55" s="68"/>
      <c r="E55" s="93"/>
      <c r="F55" s="68"/>
    </row>
    <row r="56" spans="1:13" x14ac:dyDescent="0.35">
      <c r="B56" s="275" t="s">
        <v>99</v>
      </c>
      <c r="H56" s="158" t="s">
        <v>97</v>
      </c>
      <c r="I56" s="311"/>
      <c r="J56" s="54"/>
      <c r="K56" s="54"/>
      <c r="L56" s="54"/>
    </row>
    <row r="57" spans="1:13" x14ac:dyDescent="0.35">
      <c r="A57" s="168"/>
      <c r="B57" s="276"/>
      <c r="C57" s="164" t="s">
        <v>119</v>
      </c>
      <c r="D57" s="164" t="s">
        <v>120</v>
      </c>
      <c r="E57" s="164" t="s">
        <v>40</v>
      </c>
      <c r="F57" s="165" t="s">
        <v>226</v>
      </c>
      <c r="G57" s="182"/>
      <c r="H57" s="162"/>
      <c r="I57" s="163"/>
      <c r="J57" s="164" t="s">
        <v>119</v>
      </c>
      <c r="K57" s="164" t="s">
        <v>120</v>
      </c>
      <c r="L57" s="164" t="s">
        <v>40</v>
      </c>
      <c r="M57" s="165" t="s">
        <v>226</v>
      </c>
    </row>
    <row r="58" spans="1:13" x14ac:dyDescent="0.35">
      <c r="A58" s="169">
        <v>1</v>
      </c>
      <c r="B58" s="175" t="s">
        <v>195</v>
      </c>
      <c r="C58" s="171" t="e">
        <f t="shared" ref="C58:C75" si="14">IF(INDEX(Q3_Paeds,4+$A58,16)="No data",NA(),INDEX(Q3_Paeds,4+$A58,16))</f>
        <v>#N/A</v>
      </c>
      <c r="D58" s="171" t="e">
        <f t="shared" ref="D58:D75" si="15">IF(INDEX(Q3_Paeds,4+$A58,17)="No data",NA(),INDEX(Q3_Paeds,4+$A58,17))</f>
        <v>#N/A</v>
      </c>
      <c r="E58" s="171" t="e">
        <f t="shared" ref="E58:E75" si="16">IF(INDEX(Q3_Paeds,4+$A58,18)="No data",NA(),INDEX(Q3_Paeds,4+$A58,18))</f>
        <v>#N/A</v>
      </c>
      <c r="F58" s="166" t="e">
        <f t="shared" ref="F58:F75" si="17">SUM(C58:E58)</f>
        <v>#N/A</v>
      </c>
      <c r="G58" s="183"/>
      <c r="H58" s="169">
        <v>9</v>
      </c>
      <c r="I58" s="175" t="s">
        <v>82</v>
      </c>
      <c r="J58" s="176" t="e">
        <f t="shared" ref="J58:J75" si="18">IF(INDEX(Q3_Adult,4+$H58,16)="No data",NA(),INDEX(Q3_Adult,4+$H58,16))</f>
        <v>#N/A</v>
      </c>
      <c r="K58" s="176" t="e">
        <f t="shared" ref="K58:K75" si="19">IF(INDEX(Q3_Adult,4+$H58,17)="No data",NA(),INDEX(Q3_Adult,4+$H58,17))</f>
        <v>#N/A</v>
      </c>
      <c r="L58" s="176" t="e">
        <f t="shared" ref="L58:L75" si="20">IF(INDEX(Q3_Adult,4+$H58,18)="No data",NA(),INDEX(Q3_Adult,4+$H58,18))</f>
        <v>#N/A</v>
      </c>
      <c r="M58" s="166" t="e">
        <f t="shared" ref="M58:M75" si="21">SUM(J58:L58)</f>
        <v>#N/A</v>
      </c>
    </row>
    <row r="59" spans="1:13" x14ac:dyDescent="0.35">
      <c r="A59" s="169">
        <v>9</v>
      </c>
      <c r="B59" s="175" t="s">
        <v>82</v>
      </c>
      <c r="C59" s="171" t="e">
        <f t="shared" si="14"/>
        <v>#N/A</v>
      </c>
      <c r="D59" s="171" t="e">
        <f t="shared" si="15"/>
        <v>#N/A</v>
      </c>
      <c r="E59" s="171" t="e">
        <f t="shared" si="16"/>
        <v>#N/A</v>
      </c>
      <c r="F59" s="166" t="e">
        <f t="shared" si="17"/>
        <v>#N/A</v>
      </c>
      <c r="G59" s="183"/>
      <c r="H59" s="169">
        <v>10</v>
      </c>
      <c r="I59" s="175" t="s">
        <v>83</v>
      </c>
      <c r="J59" s="176" t="e">
        <f t="shared" si="18"/>
        <v>#N/A</v>
      </c>
      <c r="K59" s="176" t="e">
        <f t="shared" si="19"/>
        <v>#N/A</v>
      </c>
      <c r="L59" s="176" t="e">
        <f t="shared" si="20"/>
        <v>#N/A</v>
      </c>
      <c r="M59" s="166" t="e">
        <f t="shared" si="21"/>
        <v>#N/A</v>
      </c>
    </row>
    <row r="60" spans="1:13" x14ac:dyDescent="0.35">
      <c r="A60" s="169">
        <v>14</v>
      </c>
      <c r="B60" s="175" t="s">
        <v>86</v>
      </c>
      <c r="C60" s="171" t="e">
        <f t="shared" si="14"/>
        <v>#N/A</v>
      </c>
      <c r="D60" s="171" t="e">
        <f t="shared" si="15"/>
        <v>#N/A</v>
      </c>
      <c r="E60" s="171" t="e">
        <f t="shared" si="16"/>
        <v>#N/A</v>
      </c>
      <c r="F60" s="166" t="e">
        <f t="shared" si="17"/>
        <v>#N/A</v>
      </c>
      <c r="G60" s="183"/>
      <c r="H60" s="169">
        <v>12</v>
      </c>
      <c r="I60" s="175" t="s">
        <v>84</v>
      </c>
      <c r="J60" s="176" t="e">
        <f t="shared" si="18"/>
        <v>#N/A</v>
      </c>
      <c r="K60" s="176" t="e">
        <f t="shared" si="19"/>
        <v>#N/A</v>
      </c>
      <c r="L60" s="176" t="e">
        <f t="shared" si="20"/>
        <v>#N/A</v>
      </c>
      <c r="M60" s="166" t="e">
        <f t="shared" si="21"/>
        <v>#N/A</v>
      </c>
    </row>
    <row r="61" spans="1:13" x14ac:dyDescent="0.35">
      <c r="A61" s="169">
        <v>2</v>
      </c>
      <c r="B61" s="175" t="s">
        <v>196</v>
      </c>
      <c r="C61" s="171">
        <f t="shared" si="14"/>
        <v>0</v>
      </c>
      <c r="D61" s="171">
        <f t="shared" si="15"/>
        <v>0</v>
      </c>
      <c r="E61" s="171">
        <f t="shared" si="16"/>
        <v>0</v>
      </c>
      <c r="F61" s="166">
        <f t="shared" si="17"/>
        <v>0</v>
      </c>
      <c r="G61" s="183"/>
      <c r="H61" s="169">
        <v>15</v>
      </c>
      <c r="I61" s="175" t="s">
        <v>60</v>
      </c>
      <c r="J61" s="176" t="e">
        <f t="shared" si="18"/>
        <v>#N/A</v>
      </c>
      <c r="K61" s="176" t="e">
        <f t="shared" si="19"/>
        <v>#N/A</v>
      </c>
      <c r="L61" s="176" t="e">
        <f t="shared" si="20"/>
        <v>#N/A</v>
      </c>
      <c r="M61" s="166" t="e">
        <f t="shared" si="21"/>
        <v>#N/A</v>
      </c>
    </row>
    <row r="62" spans="1:13" x14ac:dyDescent="0.35">
      <c r="A62" s="169">
        <v>11</v>
      </c>
      <c r="B62" s="175" t="s">
        <v>201</v>
      </c>
      <c r="C62" s="171">
        <f t="shared" si="14"/>
        <v>0</v>
      </c>
      <c r="D62" s="171">
        <f t="shared" si="15"/>
        <v>0</v>
      </c>
      <c r="E62" s="171">
        <f t="shared" si="16"/>
        <v>0</v>
      </c>
      <c r="F62" s="166">
        <f t="shared" si="17"/>
        <v>0</v>
      </c>
      <c r="G62" s="183"/>
      <c r="H62" s="169">
        <v>18</v>
      </c>
      <c r="I62" s="175" t="s">
        <v>87</v>
      </c>
      <c r="J62" s="176" t="e">
        <f t="shared" si="18"/>
        <v>#N/A</v>
      </c>
      <c r="K62" s="176" t="e">
        <f t="shared" si="19"/>
        <v>#N/A</v>
      </c>
      <c r="L62" s="176" t="e">
        <f t="shared" si="20"/>
        <v>#N/A</v>
      </c>
      <c r="M62" s="166" t="e">
        <f t="shared" si="21"/>
        <v>#N/A</v>
      </c>
    </row>
    <row r="63" spans="1:13" x14ac:dyDescent="0.35">
      <c r="A63" s="169">
        <v>4</v>
      </c>
      <c r="B63" s="175" t="s">
        <v>198</v>
      </c>
      <c r="C63" s="171">
        <f t="shared" si="14"/>
        <v>2</v>
      </c>
      <c r="D63" s="171">
        <f t="shared" si="15"/>
        <v>5</v>
      </c>
      <c r="E63" s="171">
        <f t="shared" si="16"/>
        <v>0</v>
      </c>
      <c r="F63" s="166">
        <f t="shared" si="17"/>
        <v>7</v>
      </c>
      <c r="G63" s="183"/>
      <c r="H63" s="169">
        <v>2</v>
      </c>
      <c r="I63" s="175" t="s">
        <v>196</v>
      </c>
      <c r="J63" s="176">
        <f t="shared" si="18"/>
        <v>0</v>
      </c>
      <c r="K63" s="176">
        <f t="shared" si="19"/>
        <v>0</v>
      </c>
      <c r="L63" s="176">
        <f t="shared" si="20"/>
        <v>0</v>
      </c>
      <c r="M63" s="166">
        <f t="shared" si="21"/>
        <v>0</v>
      </c>
    </row>
    <row r="64" spans="1:13" x14ac:dyDescent="0.35">
      <c r="A64" s="169">
        <v>10</v>
      </c>
      <c r="B64" s="175" t="s">
        <v>83</v>
      </c>
      <c r="C64" s="171">
        <f t="shared" si="14"/>
        <v>19</v>
      </c>
      <c r="D64" s="171">
        <f t="shared" si="15"/>
        <v>0</v>
      </c>
      <c r="E64" s="171">
        <f t="shared" si="16"/>
        <v>0</v>
      </c>
      <c r="F64" s="166">
        <f t="shared" si="17"/>
        <v>19</v>
      </c>
      <c r="G64" s="183"/>
      <c r="H64" s="169">
        <v>4</v>
      </c>
      <c r="I64" s="175" t="s">
        <v>198</v>
      </c>
      <c r="J64" s="176">
        <f t="shared" si="18"/>
        <v>0</v>
      </c>
      <c r="K64" s="176">
        <f t="shared" si="19"/>
        <v>0</v>
      </c>
      <c r="L64" s="176">
        <f t="shared" si="20"/>
        <v>0</v>
      </c>
      <c r="M64" s="166">
        <f t="shared" si="21"/>
        <v>0</v>
      </c>
    </row>
    <row r="65" spans="1:15" x14ac:dyDescent="0.35">
      <c r="A65" s="169">
        <v>15</v>
      </c>
      <c r="B65" s="175" t="s">
        <v>60</v>
      </c>
      <c r="C65" s="171">
        <f t="shared" si="14"/>
        <v>20</v>
      </c>
      <c r="D65" s="171">
        <f t="shared" si="15"/>
        <v>0</v>
      </c>
      <c r="E65" s="171">
        <f t="shared" si="16"/>
        <v>0</v>
      </c>
      <c r="F65" s="166">
        <f t="shared" si="17"/>
        <v>20</v>
      </c>
      <c r="G65" s="183"/>
      <c r="H65" s="169">
        <v>5</v>
      </c>
      <c r="I65" s="175" t="s">
        <v>199</v>
      </c>
      <c r="J65" s="176">
        <f t="shared" si="18"/>
        <v>0</v>
      </c>
      <c r="K65" s="176">
        <f t="shared" si="19"/>
        <v>0</v>
      </c>
      <c r="L65" s="176">
        <f t="shared" si="20"/>
        <v>0</v>
      </c>
      <c r="M65" s="166">
        <f t="shared" si="21"/>
        <v>0</v>
      </c>
    </row>
    <row r="66" spans="1:15" x14ac:dyDescent="0.35">
      <c r="A66" s="169">
        <v>7</v>
      </c>
      <c r="B66" s="175" t="s">
        <v>203</v>
      </c>
      <c r="C66" s="171">
        <f t="shared" si="14"/>
        <v>12</v>
      </c>
      <c r="D66" s="171">
        <f t="shared" si="15"/>
        <v>4</v>
      </c>
      <c r="E66" s="171">
        <f t="shared" si="16"/>
        <v>5</v>
      </c>
      <c r="F66" s="166">
        <f t="shared" si="17"/>
        <v>21</v>
      </c>
      <c r="G66" s="183"/>
      <c r="H66" s="169">
        <v>7</v>
      </c>
      <c r="I66" s="175" t="s">
        <v>203</v>
      </c>
      <c r="J66" s="176">
        <f t="shared" si="18"/>
        <v>0</v>
      </c>
      <c r="K66" s="176">
        <f t="shared" si="19"/>
        <v>0</v>
      </c>
      <c r="L66" s="176">
        <f t="shared" si="20"/>
        <v>0</v>
      </c>
      <c r="M66" s="166">
        <f t="shared" si="21"/>
        <v>0</v>
      </c>
    </row>
    <row r="67" spans="1:15" x14ac:dyDescent="0.35">
      <c r="A67" s="169">
        <v>6</v>
      </c>
      <c r="B67" s="175" t="s">
        <v>202</v>
      </c>
      <c r="C67" s="171">
        <f t="shared" si="14"/>
        <v>20</v>
      </c>
      <c r="D67" s="171">
        <f t="shared" si="15"/>
        <v>3</v>
      </c>
      <c r="E67" s="171">
        <f t="shared" si="16"/>
        <v>0</v>
      </c>
      <c r="F67" s="166">
        <f t="shared" si="17"/>
        <v>23</v>
      </c>
      <c r="G67" s="183"/>
      <c r="H67" s="169">
        <v>11</v>
      </c>
      <c r="I67" s="175" t="s">
        <v>201</v>
      </c>
      <c r="J67" s="176" t="str">
        <f t="shared" si="18"/>
        <v>N/A</v>
      </c>
      <c r="K67" s="176" t="str">
        <f t="shared" si="19"/>
        <v>N/A</v>
      </c>
      <c r="L67" s="176" t="str">
        <f t="shared" si="20"/>
        <v>N/A</v>
      </c>
      <c r="M67" s="166">
        <f t="shared" si="21"/>
        <v>0</v>
      </c>
    </row>
    <row r="68" spans="1:15" x14ac:dyDescent="0.35">
      <c r="A68" s="169">
        <v>18</v>
      </c>
      <c r="B68" s="175" t="s">
        <v>87</v>
      </c>
      <c r="C68" s="171">
        <f t="shared" si="14"/>
        <v>31</v>
      </c>
      <c r="D68" s="171">
        <f t="shared" si="15"/>
        <v>0</v>
      </c>
      <c r="E68" s="171">
        <f t="shared" si="16"/>
        <v>0</v>
      </c>
      <c r="F68" s="166">
        <f t="shared" si="17"/>
        <v>31</v>
      </c>
      <c r="G68" s="183"/>
      <c r="H68" s="169">
        <v>14</v>
      </c>
      <c r="I68" s="175" t="s">
        <v>86</v>
      </c>
      <c r="J68" s="176">
        <f t="shared" si="18"/>
        <v>0</v>
      </c>
      <c r="K68" s="176">
        <f t="shared" si="19"/>
        <v>0</v>
      </c>
      <c r="L68" s="176">
        <f t="shared" si="20"/>
        <v>0</v>
      </c>
      <c r="M68" s="166">
        <f t="shared" si="21"/>
        <v>0</v>
      </c>
    </row>
    <row r="69" spans="1:15" x14ac:dyDescent="0.35">
      <c r="A69" s="169">
        <v>5</v>
      </c>
      <c r="B69" s="175" t="s">
        <v>199</v>
      </c>
      <c r="C69" s="171">
        <f t="shared" si="14"/>
        <v>22</v>
      </c>
      <c r="D69" s="171">
        <f t="shared" si="15"/>
        <v>12</v>
      </c>
      <c r="E69" s="171">
        <f t="shared" si="16"/>
        <v>2</v>
      </c>
      <c r="F69" s="166">
        <f t="shared" si="17"/>
        <v>36</v>
      </c>
      <c r="G69" s="183"/>
      <c r="H69" s="169">
        <v>1</v>
      </c>
      <c r="I69" s="175" t="s">
        <v>195</v>
      </c>
      <c r="J69" s="176">
        <f t="shared" si="18"/>
        <v>0</v>
      </c>
      <c r="K69" s="176">
        <f t="shared" si="19"/>
        <v>0</v>
      </c>
      <c r="L69" s="176">
        <f t="shared" si="20"/>
        <v>0</v>
      </c>
      <c r="M69" s="166">
        <f t="shared" si="21"/>
        <v>0</v>
      </c>
    </row>
    <row r="70" spans="1:15" x14ac:dyDescent="0.35">
      <c r="A70" s="169">
        <v>8</v>
      </c>
      <c r="B70" s="175" t="s">
        <v>200</v>
      </c>
      <c r="C70" s="171">
        <f t="shared" si="14"/>
        <v>39</v>
      </c>
      <c r="D70" s="171">
        <f t="shared" si="15"/>
        <v>4</v>
      </c>
      <c r="E70" s="171">
        <f t="shared" si="16"/>
        <v>1</v>
      </c>
      <c r="F70" s="166">
        <f t="shared" si="17"/>
        <v>44</v>
      </c>
      <c r="G70" s="183"/>
      <c r="H70" s="169">
        <v>17</v>
      </c>
      <c r="I70" s="175" t="s">
        <v>70</v>
      </c>
      <c r="J70" s="176">
        <f t="shared" si="18"/>
        <v>7</v>
      </c>
      <c r="K70" s="176">
        <f t="shared" si="19"/>
        <v>7</v>
      </c>
      <c r="L70" s="176">
        <f t="shared" si="20"/>
        <v>0</v>
      </c>
      <c r="M70" s="166">
        <f t="shared" si="21"/>
        <v>14</v>
      </c>
    </row>
    <row r="71" spans="1:15" x14ac:dyDescent="0.35">
      <c r="A71" s="169">
        <v>3</v>
      </c>
      <c r="B71" s="175" t="s">
        <v>197</v>
      </c>
      <c r="C71" s="171">
        <f t="shared" si="14"/>
        <v>40</v>
      </c>
      <c r="D71" s="171">
        <f t="shared" si="15"/>
        <v>20</v>
      </c>
      <c r="E71" s="171">
        <f t="shared" si="16"/>
        <v>0</v>
      </c>
      <c r="F71" s="166">
        <f t="shared" si="17"/>
        <v>60</v>
      </c>
      <c r="G71" s="183"/>
      <c r="H71" s="169">
        <v>16</v>
      </c>
      <c r="I71" s="175" t="s">
        <v>75</v>
      </c>
      <c r="J71" s="176">
        <f t="shared" si="18"/>
        <v>11</v>
      </c>
      <c r="K71" s="176">
        <f t="shared" si="19"/>
        <v>16</v>
      </c>
      <c r="L71" s="176">
        <f t="shared" si="20"/>
        <v>0</v>
      </c>
      <c r="M71" s="166">
        <f t="shared" si="21"/>
        <v>27</v>
      </c>
    </row>
    <row r="72" spans="1:15" x14ac:dyDescent="0.35">
      <c r="A72" s="169">
        <v>16</v>
      </c>
      <c r="B72" s="175" t="s">
        <v>75</v>
      </c>
      <c r="C72" s="171">
        <f t="shared" si="14"/>
        <v>25</v>
      </c>
      <c r="D72" s="171">
        <f t="shared" si="15"/>
        <v>32</v>
      </c>
      <c r="E72" s="171">
        <f t="shared" si="16"/>
        <v>11</v>
      </c>
      <c r="F72" s="166">
        <f t="shared" si="17"/>
        <v>68</v>
      </c>
      <c r="G72" s="183"/>
      <c r="H72" s="169">
        <v>13</v>
      </c>
      <c r="I72" s="175" t="s">
        <v>74</v>
      </c>
      <c r="J72" s="176">
        <f t="shared" si="18"/>
        <v>8</v>
      </c>
      <c r="K72" s="176">
        <f t="shared" si="19"/>
        <v>28</v>
      </c>
      <c r="L72" s="176">
        <f t="shared" si="20"/>
        <v>17</v>
      </c>
      <c r="M72" s="166">
        <f t="shared" si="21"/>
        <v>53</v>
      </c>
    </row>
    <row r="73" spans="1:15" x14ac:dyDescent="0.35">
      <c r="A73" s="169">
        <v>12</v>
      </c>
      <c r="B73" s="175" t="s">
        <v>84</v>
      </c>
      <c r="C73" s="171">
        <f t="shared" si="14"/>
        <v>28</v>
      </c>
      <c r="D73" s="171">
        <f t="shared" si="15"/>
        <v>25</v>
      </c>
      <c r="E73" s="171">
        <f t="shared" si="16"/>
        <v>40</v>
      </c>
      <c r="F73" s="166">
        <f t="shared" si="17"/>
        <v>93</v>
      </c>
      <c r="G73" s="183"/>
      <c r="H73" s="169">
        <v>8</v>
      </c>
      <c r="I73" s="175" t="s">
        <v>200</v>
      </c>
      <c r="J73" s="176">
        <f t="shared" si="18"/>
        <v>7</v>
      </c>
      <c r="K73" s="176">
        <f t="shared" si="19"/>
        <v>34</v>
      </c>
      <c r="L73" s="176">
        <f t="shared" si="20"/>
        <v>64</v>
      </c>
      <c r="M73" s="166">
        <f t="shared" si="21"/>
        <v>105</v>
      </c>
    </row>
    <row r="74" spans="1:15" x14ac:dyDescent="0.35">
      <c r="A74" s="169">
        <v>17</v>
      </c>
      <c r="B74" s="175" t="s">
        <v>70</v>
      </c>
      <c r="C74" s="171">
        <f t="shared" si="14"/>
        <v>47</v>
      </c>
      <c r="D74" s="171">
        <f t="shared" si="15"/>
        <v>54</v>
      </c>
      <c r="E74" s="171">
        <f t="shared" si="16"/>
        <v>17</v>
      </c>
      <c r="F74" s="166">
        <f t="shared" si="17"/>
        <v>118</v>
      </c>
      <c r="G74" s="183"/>
      <c r="H74" s="169">
        <v>6</v>
      </c>
      <c r="I74" s="175" t="s">
        <v>202</v>
      </c>
      <c r="J74" s="176">
        <f t="shared" si="18"/>
        <v>36</v>
      </c>
      <c r="K74" s="176">
        <f t="shared" si="19"/>
        <v>80</v>
      </c>
      <c r="L74" s="176">
        <f t="shared" si="20"/>
        <v>10</v>
      </c>
      <c r="M74" s="166">
        <f t="shared" si="21"/>
        <v>126</v>
      </c>
    </row>
    <row r="75" spans="1:15" x14ac:dyDescent="0.35">
      <c r="A75" s="170">
        <v>13</v>
      </c>
      <c r="B75" s="178" t="s">
        <v>74</v>
      </c>
      <c r="C75" s="172">
        <f t="shared" si="14"/>
        <v>43</v>
      </c>
      <c r="D75" s="172">
        <f t="shared" si="15"/>
        <v>61</v>
      </c>
      <c r="E75" s="172">
        <f t="shared" si="16"/>
        <v>72</v>
      </c>
      <c r="F75" s="167">
        <f t="shared" si="17"/>
        <v>176</v>
      </c>
      <c r="G75" s="183"/>
      <c r="H75" s="170">
        <v>3</v>
      </c>
      <c r="I75" s="178" t="s">
        <v>197</v>
      </c>
      <c r="J75" s="179">
        <f t="shared" si="18"/>
        <v>47</v>
      </c>
      <c r="K75" s="179">
        <f t="shared" si="19"/>
        <v>105</v>
      </c>
      <c r="L75" s="179">
        <f t="shared" si="20"/>
        <v>95</v>
      </c>
      <c r="M75" s="167">
        <f t="shared" si="21"/>
        <v>247</v>
      </c>
    </row>
    <row r="77" spans="1:15" s="126" customFormat="1" ht="18.5" x14ac:dyDescent="0.45">
      <c r="B77" s="126" t="s">
        <v>135</v>
      </c>
    </row>
    <row r="78" spans="1:15" s="127" customFormat="1" ht="43.5" customHeight="1" x14ac:dyDescent="0.5">
      <c r="B78" s="128" t="s">
        <v>138</v>
      </c>
    </row>
    <row r="79" spans="1:15" x14ac:dyDescent="0.35">
      <c r="A79" s="50"/>
      <c r="B79" s="158" t="s">
        <v>100</v>
      </c>
      <c r="C79" s="50"/>
      <c r="D79" s="50"/>
      <c r="E79" s="158" t="s">
        <v>175</v>
      </c>
      <c r="F79" s="158"/>
      <c r="I79" s="40" t="s">
        <v>172</v>
      </c>
      <c r="M79" s="40" t="s">
        <v>172</v>
      </c>
    </row>
    <row r="80" spans="1:15" x14ac:dyDescent="0.35">
      <c r="A80" s="168"/>
      <c r="B80" s="164"/>
      <c r="C80" s="165" t="str">
        <f>[1]Data!U30</f>
        <v>Local consultant</v>
      </c>
      <c r="D80" s="182"/>
      <c r="E80" s="168"/>
      <c r="F80" s="164"/>
      <c r="G80" s="165" t="str">
        <f>[1]Data!V30</f>
        <v>Visiting consultant</v>
      </c>
      <c r="H80" s="182"/>
      <c r="I80" s="168"/>
      <c r="J80" s="164"/>
      <c r="K80" s="165" t="str">
        <f>[1]Data!U5</f>
        <v>Local consultant</v>
      </c>
      <c r="L80" s="182"/>
      <c r="M80" s="168"/>
      <c r="N80" s="164"/>
      <c r="O80" s="165" t="str">
        <f>[1]Data!V5</f>
        <v>Visiting consultant</v>
      </c>
    </row>
    <row r="81" spans="1:15" x14ac:dyDescent="0.35">
      <c r="A81" s="169">
        <v>9</v>
      </c>
      <c r="B81" s="175" t="s">
        <v>82</v>
      </c>
      <c r="C81" s="184" t="e">
        <f t="shared" ref="C81:C98" si="22">IF(INDEX(Q3_Paeds,4+$A81,21)="No data",NA(),INDEX(Q3_Paeds,4+$A81,21))</f>
        <v>#N/A</v>
      </c>
      <c r="D81" s="186"/>
      <c r="E81" s="169">
        <v>9</v>
      </c>
      <c r="F81" s="175" t="s">
        <v>82</v>
      </c>
      <c r="G81" s="184" t="e">
        <f t="shared" ref="G81:G98" si="23">IF(INDEX(Q3_Paeds,4+$E81,22)="No data",NA(),INDEX(Q3_Paeds,4+$E81,22))</f>
        <v>#N/A</v>
      </c>
      <c r="H81" s="186"/>
      <c r="I81" s="169">
        <v>9</v>
      </c>
      <c r="J81" s="175" t="s">
        <v>82</v>
      </c>
      <c r="K81" s="184" t="e">
        <f t="shared" ref="K81:K98" si="24">IF(INDEX(Q3_Adult,4+$I81,21)="No data",NA(),INDEX(Q3_Adult,4+$I81,21))</f>
        <v>#N/A</v>
      </c>
      <c r="L81" s="186"/>
      <c r="M81" s="169">
        <v>9</v>
      </c>
      <c r="N81" s="175" t="s">
        <v>82</v>
      </c>
      <c r="O81" s="184" t="e">
        <f t="shared" ref="O81:O98" si="25">IF(INDEX(Q3_Adult,4+$M81,22)="No data",NA(),INDEX(Q3_Adult,4+$M81,22))</f>
        <v>#N/A</v>
      </c>
    </row>
    <row r="82" spans="1:15" x14ac:dyDescent="0.35">
      <c r="A82" s="169">
        <v>14</v>
      </c>
      <c r="B82" s="175" t="s">
        <v>86</v>
      </c>
      <c r="C82" s="184" t="e">
        <f t="shared" si="22"/>
        <v>#N/A</v>
      </c>
      <c r="D82" s="186"/>
      <c r="E82" s="169">
        <v>14</v>
      </c>
      <c r="F82" s="175" t="s">
        <v>86</v>
      </c>
      <c r="G82" s="184" t="e">
        <f t="shared" si="23"/>
        <v>#N/A</v>
      </c>
      <c r="H82" s="186"/>
      <c r="I82" s="169">
        <v>10</v>
      </c>
      <c r="J82" s="175" t="s">
        <v>83</v>
      </c>
      <c r="K82" s="184" t="e">
        <f t="shared" si="24"/>
        <v>#N/A</v>
      </c>
      <c r="L82" s="186"/>
      <c r="M82" s="169">
        <v>10</v>
      </c>
      <c r="N82" s="175" t="s">
        <v>83</v>
      </c>
      <c r="O82" s="184" t="e">
        <f t="shared" si="25"/>
        <v>#N/A</v>
      </c>
    </row>
    <row r="83" spans="1:15" x14ac:dyDescent="0.35">
      <c r="A83" s="169">
        <v>8</v>
      </c>
      <c r="B83" s="175" t="s">
        <v>200</v>
      </c>
      <c r="C83" s="184" t="e">
        <f t="shared" si="22"/>
        <v>#N/A</v>
      </c>
      <c r="D83" s="186"/>
      <c r="E83" s="169">
        <v>8</v>
      </c>
      <c r="F83" s="175" t="s">
        <v>200</v>
      </c>
      <c r="G83" s="184" t="e">
        <f t="shared" si="23"/>
        <v>#N/A</v>
      </c>
      <c r="H83" s="186"/>
      <c r="I83" s="169">
        <v>12</v>
      </c>
      <c r="J83" s="175" t="s">
        <v>84</v>
      </c>
      <c r="K83" s="184" t="e">
        <f t="shared" si="24"/>
        <v>#N/A</v>
      </c>
      <c r="L83" s="186"/>
      <c r="M83" s="169">
        <v>12</v>
      </c>
      <c r="N83" s="175" t="s">
        <v>84</v>
      </c>
      <c r="O83" s="184" t="e">
        <f t="shared" si="25"/>
        <v>#N/A</v>
      </c>
    </row>
    <row r="84" spans="1:15" x14ac:dyDescent="0.35">
      <c r="A84" s="169">
        <v>6</v>
      </c>
      <c r="B84" s="175" t="s">
        <v>202</v>
      </c>
      <c r="C84" s="184">
        <f t="shared" si="22"/>
        <v>0</v>
      </c>
      <c r="D84" s="186"/>
      <c r="E84" s="169">
        <v>2</v>
      </c>
      <c r="F84" s="175" t="s">
        <v>196</v>
      </c>
      <c r="G84" s="184">
        <f t="shared" si="23"/>
        <v>0</v>
      </c>
      <c r="H84" s="186"/>
      <c r="I84" s="169">
        <v>15</v>
      </c>
      <c r="J84" s="175" t="s">
        <v>60</v>
      </c>
      <c r="K84" s="184" t="e">
        <f t="shared" si="24"/>
        <v>#N/A</v>
      </c>
      <c r="L84" s="186"/>
      <c r="M84" s="169">
        <v>15</v>
      </c>
      <c r="N84" s="175" t="s">
        <v>60</v>
      </c>
      <c r="O84" s="184" t="e">
        <f t="shared" si="25"/>
        <v>#N/A</v>
      </c>
    </row>
    <row r="85" spans="1:15" x14ac:dyDescent="0.35">
      <c r="A85" s="169">
        <v>7</v>
      </c>
      <c r="B85" s="175" t="s">
        <v>203</v>
      </c>
      <c r="C85" s="184">
        <f t="shared" si="22"/>
        <v>0</v>
      </c>
      <c r="D85" s="186"/>
      <c r="E85" s="169">
        <v>6</v>
      </c>
      <c r="F85" s="175" t="s">
        <v>202</v>
      </c>
      <c r="G85" s="184">
        <f t="shared" si="23"/>
        <v>0</v>
      </c>
      <c r="H85" s="186"/>
      <c r="I85" s="169">
        <v>18</v>
      </c>
      <c r="J85" s="175" t="s">
        <v>87</v>
      </c>
      <c r="K85" s="184" t="e">
        <f t="shared" si="24"/>
        <v>#N/A</v>
      </c>
      <c r="L85" s="186"/>
      <c r="M85" s="169">
        <v>18</v>
      </c>
      <c r="N85" s="175" t="s">
        <v>87</v>
      </c>
      <c r="O85" s="184" t="e">
        <f t="shared" si="25"/>
        <v>#N/A</v>
      </c>
    </row>
    <row r="86" spans="1:15" x14ac:dyDescent="0.35">
      <c r="A86" s="169">
        <v>17</v>
      </c>
      <c r="B86" s="175" t="s">
        <v>70</v>
      </c>
      <c r="C86" s="184">
        <f t="shared" si="22"/>
        <v>0.02</v>
      </c>
      <c r="D86" s="186"/>
      <c r="E86" s="169">
        <v>7</v>
      </c>
      <c r="F86" s="175" t="s">
        <v>203</v>
      </c>
      <c r="G86" s="184">
        <f t="shared" si="23"/>
        <v>0</v>
      </c>
      <c r="H86" s="186"/>
      <c r="I86" s="169">
        <v>1</v>
      </c>
      <c r="J86" s="175" t="s">
        <v>195</v>
      </c>
      <c r="K86" s="184">
        <f t="shared" si="24"/>
        <v>0</v>
      </c>
      <c r="L86" s="186"/>
      <c r="M86" s="169">
        <v>11</v>
      </c>
      <c r="N86" s="175" t="s">
        <v>201</v>
      </c>
      <c r="O86" s="184" t="str">
        <f t="shared" si="25"/>
        <v>N/A</v>
      </c>
    </row>
    <row r="87" spans="1:15" x14ac:dyDescent="0.35">
      <c r="A87" s="169">
        <v>2</v>
      </c>
      <c r="B87" s="175" t="s">
        <v>196</v>
      </c>
      <c r="C87" s="184">
        <f t="shared" si="22"/>
        <v>7.0000000000000007E-2</v>
      </c>
      <c r="D87" s="186"/>
      <c r="E87" s="169">
        <v>11</v>
      </c>
      <c r="F87" s="175" t="s">
        <v>201</v>
      </c>
      <c r="G87" s="184">
        <f t="shared" si="23"/>
        <v>0</v>
      </c>
      <c r="H87" s="186"/>
      <c r="I87" s="169">
        <v>3</v>
      </c>
      <c r="J87" s="175" t="s">
        <v>197</v>
      </c>
      <c r="K87" s="184">
        <f t="shared" si="24"/>
        <v>0</v>
      </c>
      <c r="L87" s="186"/>
      <c r="M87" s="169">
        <v>2</v>
      </c>
      <c r="N87" s="175" t="s">
        <v>196</v>
      </c>
      <c r="O87" s="184">
        <f t="shared" si="25"/>
        <v>0</v>
      </c>
    </row>
    <row r="88" spans="1:15" x14ac:dyDescent="0.35">
      <c r="A88" s="169">
        <v>10</v>
      </c>
      <c r="B88" s="175" t="s">
        <v>83</v>
      </c>
      <c r="C88" s="184">
        <f t="shared" si="22"/>
        <v>7.0000000000000007E-2</v>
      </c>
      <c r="D88" s="186"/>
      <c r="E88" s="169">
        <v>17</v>
      </c>
      <c r="F88" s="175" t="s">
        <v>70</v>
      </c>
      <c r="G88" s="184">
        <f t="shared" si="23"/>
        <v>0.02</v>
      </c>
      <c r="H88" s="186"/>
      <c r="I88" s="169">
        <v>5</v>
      </c>
      <c r="J88" s="175" t="s">
        <v>199</v>
      </c>
      <c r="K88" s="184">
        <f t="shared" si="24"/>
        <v>0</v>
      </c>
      <c r="L88" s="186"/>
      <c r="M88" s="169">
        <v>5</v>
      </c>
      <c r="N88" s="175" t="s">
        <v>199</v>
      </c>
      <c r="O88" s="184">
        <f t="shared" si="25"/>
        <v>0</v>
      </c>
    </row>
    <row r="89" spans="1:15" x14ac:dyDescent="0.35">
      <c r="A89" s="169">
        <v>15</v>
      </c>
      <c r="B89" s="175" t="s">
        <v>60</v>
      </c>
      <c r="C89" s="184">
        <f t="shared" si="22"/>
        <v>0.08</v>
      </c>
      <c r="D89" s="186"/>
      <c r="E89" s="169">
        <v>4</v>
      </c>
      <c r="F89" s="175" t="s">
        <v>198</v>
      </c>
      <c r="G89" s="184">
        <f t="shared" si="23"/>
        <v>0.04</v>
      </c>
      <c r="H89" s="186"/>
      <c r="I89" s="169">
        <v>6</v>
      </c>
      <c r="J89" s="175" t="s">
        <v>202</v>
      </c>
      <c r="K89" s="184">
        <f t="shared" si="24"/>
        <v>0</v>
      </c>
      <c r="L89" s="186"/>
      <c r="M89" s="169">
        <v>8</v>
      </c>
      <c r="N89" s="175" t="s">
        <v>200</v>
      </c>
      <c r="O89" s="184">
        <f t="shared" si="25"/>
        <v>0</v>
      </c>
    </row>
    <row r="90" spans="1:15" x14ac:dyDescent="0.35">
      <c r="A90" s="169">
        <v>16</v>
      </c>
      <c r="B90" s="175" t="s">
        <v>75</v>
      </c>
      <c r="C90" s="184">
        <f t="shared" si="22"/>
        <v>0.08</v>
      </c>
      <c r="D90" s="186"/>
      <c r="E90" s="169">
        <v>18</v>
      </c>
      <c r="F90" s="175" t="s">
        <v>87</v>
      </c>
      <c r="G90" s="184">
        <f t="shared" si="23"/>
        <v>0.04</v>
      </c>
      <c r="H90" s="186"/>
      <c r="I90" s="169">
        <v>7</v>
      </c>
      <c r="J90" s="175" t="s">
        <v>203</v>
      </c>
      <c r="K90" s="184">
        <f t="shared" si="24"/>
        <v>0</v>
      </c>
      <c r="L90" s="186"/>
      <c r="M90" s="169">
        <v>14</v>
      </c>
      <c r="N90" s="175" t="s">
        <v>86</v>
      </c>
      <c r="O90" s="184">
        <f t="shared" si="25"/>
        <v>0</v>
      </c>
    </row>
    <row r="91" spans="1:15" x14ac:dyDescent="0.35">
      <c r="A91" s="169">
        <v>11</v>
      </c>
      <c r="B91" s="175" t="s">
        <v>201</v>
      </c>
      <c r="C91" s="184">
        <f t="shared" si="22"/>
        <v>0.09</v>
      </c>
      <c r="D91" s="186"/>
      <c r="E91" s="169">
        <v>3</v>
      </c>
      <c r="F91" s="175" t="s">
        <v>197</v>
      </c>
      <c r="G91" s="184">
        <f t="shared" si="23"/>
        <v>0.05</v>
      </c>
      <c r="H91" s="186"/>
      <c r="I91" s="169">
        <v>8</v>
      </c>
      <c r="J91" s="175" t="s">
        <v>200</v>
      </c>
      <c r="K91" s="184">
        <f t="shared" si="24"/>
        <v>0</v>
      </c>
      <c r="L91" s="186"/>
      <c r="M91" s="169">
        <v>4</v>
      </c>
      <c r="N91" s="175" t="s">
        <v>198</v>
      </c>
      <c r="O91" s="184">
        <f t="shared" si="25"/>
        <v>0.03</v>
      </c>
    </row>
    <row r="92" spans="1:15" x14ac:dyDescent="0.35">
      <c r="A92" s="169">
        <v>12</v>
      </c>
      <c r="B92" s="175" t="s">
        <v>84</v>
      </c>
      <c r="C92" s="184">
        <f t="shared" si="22"/>
        <v>0.09</v>
      </c>
      <c r="D92" s="186"/>
      <c r="E92" s="169">
        <v>15</v>
      </c>
      <c r="F92" s="175" t="s">
        <v>60</v>
      </c>
      <c r="G92" s="184">
        <f t="shared" si="23"/>
        <v>0.05</v>
      </c>
      <c r="H92" s="186"/>
      <c r="I92" s="169">
        <v>4</v>
      </c>
      <c r="J92" s="175" t="s">
        <v>198</v>
      </c>
      <c r="K92" s="184">
        <f t="shared" si="24"/>
        <v>0.02</v>
      </c>
      <c r="L92" s="186"/>
      <c r="M92" s="169">
        <v>13</v>
      </c>
      <c r="N92" s="175" t="s">
        <v>74</v>
      </c>
      <c r="O92" s="184">
        <f t="shared" si="25"/>
        <v>0.06</v>
      </c>
    </row>
    <row r="93" spans="1:15" x14ac:dyDescent="0.35">
      <c r="A93" s="169">
        <v>1</v>
      </c>
      <c r="B93" s="175" t="s">
        <v>195</v>
      </c>
      <c r="C93" s="184">
        <f t="shared" si="22"/>
        <v>0.105</v>
      </c>
      <c r="D93" s="186"/>
      <c r="E93" s="169">
        <v>12</v>
      </c>
      <c r="F93" s="175" t="s">
        <v>84</v>
      </c>
      <c r="G93" s="184">
        <f t="shared" si="23"/>
        <v>0.06</v>
      </c>
      <c r="H93" s="186"/>
      <c r="I93" s="169">
        <v>13</v>
      </c>
      <c r="J93" s="175" t="s">
        <v>74</v>
      </c>
      <c r="K93" s="184">
        <f t="shared" si="24"/>
        <v>0.06</v>
      </c>
      <c r="L93" s="186"/>
      <c r="M93" s="169">
        <v>6</v>
      </c>
      <c r="N93" s="175" t="s">
        <v>202</v>
      </c>
      <c r="O93" s="184">
        <f t="shared" si="25"/>
        <v>0.08</v>
      </c>
    </row>
    <row r="94" spans="1:15" x14ac:dyDescent="0.35">
      <c r="A94" s="169">
        <v>18</v>
      </c>
      <c r="B94" s="175" t="s">
        <v>87</v>
      </c>
      <c r="C94" s="184">
        <f t="shared" si="22"/>
        <v>0.11</v>
      </c>
      <c r="D94" s="186"/>
      <c r="E94" s="169">
        <v>10</v>
      </c>
      <c r="F94" s="175" t="s">
        <v>83</v>
      </c>
      <c r="G94" s="184">
        <f t="shared" si="23"/>
        <v>7.0000000000000007E-2</v>
      </c>
      <c r="H94" s="186"/>
      <c r="I94" s="169">
        <v>14</v>
      </c>
      <c r="J94" s="175" t="s">
        <v>86</v>
      </c>
      <c r="K94" s="184">
        <f t="shared" si="24"/>
        <v>0.08</v>
      </c>
      <c r="L94" s="186"/>
      <c r="M94" s="169">
        <v>1</v>
      </c>
      <c r="N94" s="175" t="s">
        <v>195</v>
      </c>
      <c r="O94" s="184">
        <f t="shared" si="25"/>
        <v>0.09</v>
      </c>
    </row>
    <row r="95" spans="1:15" x14ac:dyDescent="0.35">
      <c r="A95" s="169">
        <v>13</v>
      </c>
      <c r="B95" s="175" t="s">
        <v>74</v>
      </c>
      <c r="C95" s="184">
        <f t="shared" si="22"/>
        <v>0.15</v>
      </c>
      <c r="D95" s="186"/>
      <c r="E95" s="169">
        <v>1</v>
      </c>
      <c r="F95" s="175" t="s">
        <v>195</v>
      </c>
      <c r="G95" s="184">
        <f t="shared" si="23"/>
        <v>0.09</v>
      </c>
      <c r="H95" s="186"/>
      <c r="I95" s="169">
        <v>17</v>
      </c>
      <c r="J95" s="175" t="s">
        <v>70</v>
      </c>
      <c r="K95" s="184">
        <f t="shared" si="24"/>
        <v>0.1</v>
      </c>
      <c r="L95" s="186"/>
      <c r="M95" s="169">
        <v>3</v>
      </c>
      <c r="N95" s="175" t="s">
        <v>197</v>
      </c>
      <c r="O95" s="184">
        <f t="shared" si="25"/>
        <v>0.09</v>
      </c>
    </row>
    <row r="96" spans="1:15" x14ac:dyDescent="0.35">
      <c r="A96" s="169">
        <v>3</v>
      </c>
      <c r="B96" s="175" t="s">
        <v>197</v>
      </c>
      <c r="C96" s="184">
        <f t="shared" si="22"/>
        <v>0.2</v>
      </c>
      <c r="D96" s="186"/>
      <c r="E96" s="169">
        <v>16</v>
      </c>
      <c r="F96" s="175" t="s">
        <v>75</v>
      </c>
      <c r="G96" s="184">
        <f t="shared" si="23"/>
        <v>0.09</v>
      </c>
      <c r="H96" s="186"/>
      <c r="I96" s="169">
        <v>11</v>
      </c>
      <c r="J96" s="175" t="s">
        <v>201</v>
      </c>
      <c r="K96" s="184">
        <f t="shared" si="24"/>
        <v>0.12</v>
      </c>
      <c r="L96" s="186"/>
      <c r="M96" s="169">
        <v>17</v>
      </c>
      <c r="N96" s="175" t="s">
        <v>70</v>
      </c>
      <c r="O96" s="184">
        <f t="shared" si="25"/>
        <v>0.11</v>
      </c>
    </row>
    <row r="97" spans="1:15" x14ac:dyDescent="0.35">
      <c r="A97" s="169">
        <v>4</v>
      </c>
      <c r="B97" s="175" t="s">
        <v>198</v>
      </c>
      <c r="C97" s="184">
        <f t="shared" si="22"/>
        <v>0.27</v>
      </c>
      <c r="D97" s="186"/>
      <c r="E97" s="169">
        <v>13</v>
      </c>
      <c r="F97" s="175" t="s">
        <v>74</v>
      </c>
      <c r="G97" s="184">
        <f t="shared" si="23"/>
        <v>0.13</v>
      </c>
      <c r="H97" s="186"/>
      <c r="I97" s="169">
        <v>2</v>
      </c>
      <c r="J97" s="175" t="s">
        <v>196</v>
      </c>
      <c r="K97" s="184">
        <f t="shared" si="24"/>
        <v>0.14000000000000001</v>
      </c>
      <c r="L97" s="186"/>
      <c r="M97" s="169">
        <v>16</v>
      </c>
      <c r="N97" s="175" t="s">
        <v>75</v>
      </c>
      <c r="O97" s="184">
        <f t="shared" si="25"/>
        <v>0.13</v>
      </c>
    </row>
    <row r="98" spans="1:15" x14ac:dyDescent="0.35">
      <c r="A98" s="170">
        <v>5</v>
      </c>
      <c r="B98" s="178" t="s">
        <v>199</v>
      </c>
      <c r="C98" s="185">
        <f t="shared" si="22"/>
        <v>0.4</v>
      </c>
      <c r="D98" s="186"/>
      <c r="E98" s="170">
        <v>5</v>
      </c>
      <c r="F98" s="178" t="s">
        <v>199</v>
      </c>
      <c r="G98" s="185">
        <f t="shared" si="23"/>
        <v>0.22</v>
      </c>
      <c r="H98" s="186"/>
      <c r="I98" s="170">
        <v>16</v>
      </c>
      <c r="J98" s="178" t="s">
        <v>75</v>
      </c>
      <c r="K98" s="185">
        <f t="shared" si="24"/>
        <v>0.19</v>
      </c>
      <c r="L98" s="186"/>
      <c r="M98" s="170">
        <v>7</v>
      </c>
      <c r="N98" s="178" t="s">
        <v>203</v>
      </c>
      <c r="O98" s="185">
        <f t="shared" si="25"/>
        <v>0.37</v>
      </c>
    </row>
    <row r="99" spans="1:15" s="50" customFormat="1" x14ac:dyDescent="0.35">
      <c r="B99" s="92"/>
      <c r="C99" s="129"/>
      <c r="D99" s="129"/>
      <c r="E99" s="92"/>
      <c r="F99" s="129"/>
    </row>
    <row r="100" spans="1:15" ht="18.5" x14ac:dyDescent="0.35">
      <c r="B100" s="130" t="s">
        <v>212</v>
      </c>
      <c r="F100" s="130" t="s">
        <v>213</v>
      </c>
    </row>
    <row r="101" spans="1:15" x14ac:dyDescent="0.35">
      <c r="A101" s="277" t="s">
        <v>101</v>
      </c>
      <c r="B101" s="491" t="s">
        <v>211</v>
      </c>
      <c r="C101" s="492"/>
      <c r="D101" s="278"/>
      <c r="E101" s="279" t="s">
        <v>101</v>
      </c>
      <c r="F101" s="493" t="s">
        <v>6</v>
      </c>
      <c r="G101" s="493"/>
      <c r="H101" s="493" t="s">
        <v>7</v>
      </c>
      <c r="I101" s="493"/>
      <c r="J101" s="493" t="s">
        <v>8</v>
      </c>
      <c r="K101" s="493"/>
      <c r="L101" s="493" t="s">
        <v>9</v>
      </c>
      <c r="M101" s="493"/>
    </row>
    <row r="102" spans="1:15" ht="15" customHeight="1" x14ac:dyDescent="0.35">
      <c r="A102" s="280" t="s">
        <v>67</v>
      </c>
      <c r="B102" s="281" t="s">
        <v>2</v>
      </c>
      <c r="C102" s="282" t="s">
        <v>102</v>
      </c>
      <c r="D102" s="278"/>
      <c r="E102" s="283" t="s">
        <v>67</v>
      </c>
      <c r="F102" s="284" t="s">
        <v>2</v>
      </c>
      <c r="G102" s="285" t="s">
        <v>102</v>
      </c>
      <c r="H102" s="286" t="s">
        <v>2</v>
      </c>
      <c r="I102" s="287" t="s">
        <v>102</v>
      </c>
      <c r="J102" s="288" t="s">
        <v>2</v>
      </c>
      <c r="K102" s="285" t="s">
        <v>102</v>
      </c>
      <c r="L102" s="289" t="s">
        <v>2</v>
      </c>
      <c r="M102" s="287" t="s">
        <v>102</v>
      </c>
      <c r="N102" s="55"/>
    </row>
    <row r="103" spans="1:15" x14ac:dyDescent="0.35">
      <c r="A103" s="290" t="s">
        <v>209</v>
      </c>
      <c r="B103" s="291">
        <f>_xlfn.AGGREGATE(4,6,$K$81:$K$98)</f>
        <v>0.19</v>
      </c>
      <c r="C103" s="292">
        <f>_xlfn.AGGREGATE(4,6,$O$81:$O$98)</f>
        <v>0.37</v>
      </c>
      <c r="D103" s="278"/>
      <c r="E103" s="279" t="s">
        <v>209</v>
      </c>
      <c r="F103" s="293">
        <v>0.255</v>
      </c>
      <c r="G103" s="294">
        <v>0.19</v>
      </c>
      <c r="H103" s="293">
        <v>0.25</v>
      </c>
      <c r="I103" s="294">
        <v>0.16</v>
      </c>
      <c r="J103" s="293">
        <v>0.19</v>
      </c>
      <c r="K103" s="294">
        <v>0.37</v>
      </c>
      <c r="L103" s="296"/>
      <c r="M103" s="294"/>
      <c r="N103" s="55"/>
    </row>
    <row r="104" spans="1:15" x14ac:dyDescent="0.35">
      <c r="A104" s="290" t="s">
        <v>207</v>
      </c>
      <c r="B104" s="291">
        <f>_xlfn.AGGREGATE(5,6,$K$81:$K$98)</f>
        <v>0</v>
      </c>
      <c r="C104" s="292">
        <f>_xlfn.AGGREGATE(5,6,$O$81:$O$98)</f>
        <v>0</v>
      </c>
      <c r="D104" s="278"/>
      <c r="E104" s="279" t="s">
        <v>207</v>
      </c>
      <c r="F104" s="293">
        <v>0</v>
      </c>
      <c r="G104" s="294">
        <v>0</v>
      </c>
      <c r="H104" s="293">
        <v>0</v>
      </c>
      <c r="I104" s="294">
        <v>0</v>
      </c>
      <c r="J104" s="293">
        <v>0</v>
      </c>
      <c r="K104" s="294">
        <v>0</v>
      </c>
      <c r="L104" s="296"/>
      <c r="M104" s="294"/>
      <c r="N104" s="55"/>
    </row>
    <row r="105" spans="1:15" x14ac:dyDescent="0.35">
      <c r="A105" s="297" t="s">
        <v>208</v>
      </c>
      <c r="B105" s="298">
        <f>_xlfn.AGGREGATE(12,6,$K$81:$K$98)</f>
        <v>0.02</v>
      </c>
      <c r="C105" s="299">
        <f>_xlfn.AGGREGATE(12,6,$O$81:$O$98)</f>
        <v>7.0000000000000007E-2</v>
      </c>
      <c r="D105" s="278"/>
      <c r="E105" s="279" t="s">
        <v>208</v>
      </c>
      <c r="F105" s="300">
        <v>0.04</v>
      </c>
      <c r="G105" s="301">
        <v>0</v>
      </c>
      <c r="H105" s="300">
        <v>0.02</v>
      </c>
      <c r="I105" s="301">
        <v>0</v>
      </c>
      <c r="J105" s="300">
        <v>0.02</v>
      </c>
      <c r="K105" s="301">
        <v>7.0000000000000007E-2</v>
      </c>
      <c r="L105" s="303"/>
      <c r="M105" s="301"/>
      <c r="N105" s="55"/>
    </row>
    <row r="106" spans="1:15" x14ac:dyDescent="0.35">
      <c r="A106" s="278"/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</row>
    <row r="107" spans="1:15" x14ac:dyDescent="0.35">
      <c r="A107" s="288" t="s">
        <v>103</v>
      </c>
      <c r="B107" s="491" t="s">
        <v>211</v>
      </c>
      <c r="C107" s="492"/>
      <c r="D107" s="278"/>
      <c r="E107" s="304" t="s">
        <v>103</v>
      </c>
      <c r="F107" s="493" t="s">
        <v>6</v>
      </c>
      <c r="G107" s="493"/>
      <c r="H107" s="493" t="s">
        <v>7</v>
      </c>
      <c r="I107" s="493"/>
      <c r="J107" s="493" t="s">
        <v>8</v>
      </c>
      <c r="K107" s="493"/>
      <c r="L107" s="493" t="s">
        <v>9</v>
      </c>
      <c r="M107" s="493"/>
    </row>
    <row r="108" spans="1:15" x14ac:dyDescent="0.35">
      <c r="A108" s="305" t="s">
        <v>16</v>
      </c>
      <c r="B108" s="306" t="s">
        <v>2</v>
      </c>
      <c r="C108" s="307" t="s">
        <v>102</v>
      </c>
      <c r="D108" s="278"/>
      <c r="E108" s="304" t="s">
        <v>16</v>
      </c>
      <c r="F108" s="284" t="s">
        <v>2</v>
      </c>
      <c r="G108" s="285" t="s">
        <v>102</v>
      </c>
      <c r="H108" s="286" t="s">
        <v>2</v>
      </c>
      <c r="I108" s="287" t="s">
        <v>102</v>
      </c>
      <c r="J108" s="288" t="s">
        <v>2</v>
      </c>
      <c r="K108" s="285" t="s">
        <v>102</v>
      </c>
      <c r="L108" s="289" t="s">
        <v>2</v>
      </c>
      <c r="M108" s="287" t="s">
        <v>102</v>
      </c>
    </row>
    <row r="109" spans="1:15" x14ac:dyDescent="0.35">
      <c r="A109" s="290" t="s">
        <v>209</v>
      </c>
      <c r="B109" s="291">
        <f>_xlfn.AGGREGATE(4,6,$C$81:$C$98)</f>
        <v>0.4</v>
      </c>
      <c r="C109" s="292">
        <f>_xlfn.AGGREGATE(4,6,$G$81:$G$98)</f>
        <v>0.22</v>
      </c>
      <c r="D109" s="278"/>
      <c r="E109" s="279" t="s">
        <v>209</v>
      </c>
      <c r="F109" s="293">
        <v>0.3095</v>
      </c>
      <c r="G109" s="294">
        <v>0.1</v>
      </c>
      <c r="H109" s="293">
        <v>0.22</v>
      </c>
      <c r="I109" s="294">
        <v>0.26</v>
      </c>
      <c r="J109" s="293">
        <v>0.4</v>
      </c>
      <c r="K109" s="294">
        <v>0.22</v>
      </c>
      <c r="L109" s="296"/>
      <c r="M109" s="294"/>
    </row>
    <row r="110" spans="1:15" x14ac:dyDescent="0.35">
      <c r="A110" s="290" t="s">
        <v>207</v>
      </c>
      <c r="B110" s="291">
        <f>_xlfn.AGGREGATE(5,6,$C$81:$C$98)</f>
        <v>0</v>
      </c>
      <c r="C110" s="292">
        <f>_xlfn.AGGREGATE(5,6,$G$81:$G$98)</f>
        <v>0</v>
      </c>
      <c r="D110" s="278"/>
      <c r="E110" s="279" t="s">
        <v>207</v>
      </c>
      <c r="F110" s="293">
        <v>0</v>
      </c>
      <c r="G110" s="294">
        <v>0</v>
      </c>
      <c r="H110" s="293">
        <v>0</v>
      </c>
      <c r="I110" s="294">
        <v>0</v>
      </c>
      <c r="J110" s="293">
        <v>0</v>
      </c>
      <c r="K110" s="294">
        <v>0</v>
      </c>
      <c r="L110" s="296"/>
      <c r="M110" s="294"/>
    </row>
    <row r="111" spans="1:15" x14ac:dyDescent="0.35">
      <c r="A111" s="297" t="s">
        <v>208</v>
      </c>
      <c r="B111" s="298">
        <f>_xlfn.AGGREGATE(12,6,$C$81:$C$98)</f>
        <v>0.09</v>
      </c>
      <c r="C111" s="299">
        <f>_xlfn.AGGREGATE(12,6,$G$81:$G$98)</f>
        <v>0.05</v>
      </c>
      <c r="D111" s="278"/>
      <c r="E111" s="279" t="s">
        <v>208</v>
      </c>
      <c r="F111" s="300">
        <v>6.3399999999999998E-2</v>
      </c>
      <c r="G111" s="301">
        <v>1.6E-2</v>
      </c>
      <c r="H111" s="300">
        <v>9.2999999999999999E-2</v>
      </c>
      <c r="I111" s="301">
        <v>0.05</v>
      </c>
      <c r="J111" s="300">
        <v>0.09</v>
      </c>
      <c r="K111" s="301">
        <v>0.05</v>
      </c>
      <c r="L111" s="303"/>
      <c r="M111" s="301"/>
    </row>
  </sheetData>
  <sortState xmlns:xlrd2="http://schemas.microsoft.com/office/spreadsheetml/2017/richdata2" ref="H63:M75">
    <sortCondition ref="M63:M75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76"/>
  <sheetViews>
    <sheetView topLeftCell="A100" zoomScale="70" zoomScaleNormal="70" workbookViewId="0">
      <selection activeCell="L116" sqref="L116"/>
    </sheetView>
  </sheetViews>
  <sheetFormatPr defaultColWidth="13.26953125" defaultRowHeight="14.5" x14ac:dyDescent="0.35"/>
  <cols>
    <col min="1" max="1" width="11" style="1" customWidth="1"/>
    <col min="2" max="2" width="60.453125" style="1" customWidth="1"/>
    <col min="3" max="3" width="17.54296875" style="1" customWidth="1"/>
    <col min="4" max="4" width="13.26953125" style="1"/>
    <col min="5" max="5" width="30.1796875" style="1" customWidth="1"/>
    <col min="6" max="22" width="13.26953125" style="1"/>
    <col min="23" max="16384" width="13.26953125" style="39"/>
  </cols>
  <sheetData>
    <row r="1" spans="1:22" ht="21" x14ac:dyDescent="0.35">
      <c r="A1" s="313" t="s">
        <v>10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</row>
    <row r="2" spans="1:22" ht="21" x14ac:dyDescent="0.35">
      <c r="A2" s="69" t="s">
        <v>89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x14ac:dyDescent="0.35"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</row>
    <row r="4" spans="1:22" x14ac:dyDescent="0.35">
      <c r="A4" s="29"/>
      <c r="B4" s="121"/>
      <c r="C4" s="494" t="s">
        <v>139</v>
      </c>
      <c r="D4" s="494" t="s">
        <v>140</v>
      </c>
      <c r="E4" s="495" t="s">
        <v>0</v>
      </c>
      <c r="F4" s="494" t="s">
        <v>141</v>
      </c>
      <c r="G4" s="494" t="s">
        <v>47</v>
      </c>
      <c r="H4" s="494"/>
      <c r="I4" s="494" t="s">
        <v>48</v>
      </c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 t="s">
        <v>46</v>
      </c>
      <c r="V4" s="494"/>
    </row>
    <row r="5" spans="1:22" x14ac:dyDescent="0.35">
      <c r="A5" s="29"/>
      <c r="B5" s="121"/>
      <c r="C5" s="494"/>
      <c r="D5" s="494"/>
      <c r="E5" s="495"/>
      <c r="F5" s="494"/>
      <c r="G5" s="494" t="s">
        <v>2</v>
      </c>
      <c r="H5" s="494" t="s">
        <v>3</v>
      </c>
      <c r="I5" s="494" t="s">
        <v>2</v>
      </c>
      <c r="J5" s="494"/>
      <c r="K5" s="494"/>
      <c r="L5" s="494"/>
      <c r="M5" s="494"/>
      <c r="N5" s="494"/>
      <c r="O5" s="494" t="s">
        <v>45</v>
      </c>
      <c r="P5" s="494"/>
      <c r="Q5" s="494"/>
      <c r="R5" s="494"/>
      <c r="S5" s="494"/>
      <c r="T5" s="494"/>
      <c r="U5" s="494" t="s">
        <v>2</v>
      </c>
      <c r="V5" s="494" t="s">
        <v>45</v>
      </c>
    </row>
    <row r="6" spans="1:22" ht="29" x14ac:dyDescent="0.35">
      <c r="A6" s="29"/>
      <c r="B6" s="121"/>
      <c r="C6" s="494"/>
      <c r="D6" s="494"/>
      <c r="E6" s="495"/>
      <c r="F6" s="494"/>
      <c r="G6" s="494"/>
      <c r="H6" s="494"/>
      <c r="I6" s="121" t="s">
        <v>142</v>
      </c>
      <c r="J6" s="29" t="s">
        <v>41</v>
      </c>
      <c r="K6" s="29" t="s">
        <v>42</v>
      </c>
      <c r="L6" s="44" t="s">
        <v>43</v>
      </c>
      <c r="M6" s="29" t="s">
        <v>143</v>
      </c>
      <c r="N6" s="121" t="s">
        <v>144</v>
      </c>
      <c r="O6" s="121" t="s">
        <v>142</v>
      </c>
      <c r="P6" s="29" t="s">
        <v>41</v>
      </c>
      <c r="Q6" s="29" t="s">
        <v>42</v>
      </c>
      <c r="R6" s="44" t="s">
        <v>43</v>
      </c>
      <c r="S6" s="29" t="s">
        <v>143</v>
      </c>
      <c r="T6" s="121" t="s">
        <v>145</v>
      </c>
      <c r="U6" s="494"/>
      <c r="V6" s="494"/>
    </row>
    <row r="7" spans="1:22" x14ac:dyDescent="0.35">
      <c r="A7" s="42">
        <v>1</v>
      </c>
      <c r="B7" s="175" t="str">
        <f>VLOOKUP(A7,Control!$A$1:$B$18,2)</f>
        <v>Aneurin Bevan UHB, Nevill Hall &amp; Royal Gwent Hospitals</v>
      </c>
      <c r="C7" s="42" t="s">
        <v>192</v>
      </c>
      <c r="D7" s="121">
        <v>2021</v>
      </c>
      <c r="E7" s="67" t="s">
        <v>210</v>
      </c>
      <c r="F7" s="273" t="s">
        <v>15</v>
      </c>
      <c r="G7" s="42">
        <v>0</v>
      </c>
      <c r="H7" s="42">
        <v>0</v>
      </c>
      <c r="I7" s="121">
        <v>35</v>
      </c>
      <c r="J7" s="42">
        <v>31</v>
      </c>
      <c r="K7" s="42">
        <v>69</v>
      </c>
      <c r="L7" s="44">
        <v>42</v>
      </c>
      <c r="M7" s="119">
        <v>177</v>
      </c>
      <c r="N7" s="119">
        <v>142</v>
      </c>
      <c r="O7" s="119">
        <v>0</v>
      </c>
      <c r="P7" s="42">
        <v>0</v>
      </c>
      <c r="Q7" s="42">
        <v>0</v>
      </c>
      <c r="R7" s="44">
        <v>0</v>
      </c>
      <c r="S7" s="119">
        <v>0</v>
      </c>
      <c r="T7" s="119">
        <v>0</v>
      </c>
      <c r="U7" s="219">
        <v>0.05</v>
      </c>
      <c r="V7" s="219">
        <v>0</v>
      </c>
    </row>
    <row r="8" spans="1:22" x14ac:dyDescent="0.35">
      <c r="A8" s="42">
        <v>2</v>
      </c>
      <c r="B8" s="175" t="str">
        <f>VLOOKUP(A8,Control!$A$1:$B$18,2)</f>
        <v>Cardiff &amp; Vale UHB, Noah’s Ark / University Hospital Wales</v>
      </c>
      <c r="C8" s="42" t="s">
        <v>192</v>
      </c>
      <c r="D8" s="121">
        <v>2021</v>
      </c>
      <c r="E8" s="67" t="s">
        <v>63</v>
      </c>
      <c r="F8" s="273" t="s">
        <v>15</v>
      </c>
      <c r="G8" s="42">
        <v>12</v>
      </c>
      <c r="H8" s="42">
        <v>0</v>
      </c>
      <c r="I8" s="121">
        <v>34</v>
      </c>
      <c r="J8" s="42">
        <v>37</v>
      </c>
      <c r="K8" s="42">
        <v>79</v>
      </c>
      <c r="L8" s="44">
        <v>28</v>
      </c>
      <c r="M8" s="119">
        <v>178</v>
      </c>
      <c r="N8" s="119">
        <v>144</v>
      </c>
      <c r="O8" s="119">
        <v>0</v>
      </c>
      <c r="P8" s="42">
        <v>0</v>
      </c>
      <c r="Q8" s="42">
        <v>0</v>
      </c>
      <c r="R8" s="44">
        <v>0</v>
      </c>
      <c r="S8" s="119">
        <v>0</v>
      </c>
      <c r="T8" s="119">
        <v>0</v>
      </c>
      <c r="U8" s="219">
        <v>0.255</v>
      </c>
      <c r="V8" s="219">
        <v>0</v>
      </c>
    </row>
    <row r="9" spans="1:22" x14ac:dyDescent="0.35">
      <c r="A9" s="42">
        <v>3</v>
      </c>
      <c r="B9" s="175" t="str">
        <f>VLOOKUP(A9,Control!$A$1:$B$18,2)</f>
        <v>Cwm Taf Morgannwg UHB, Princess of Wales Hospital</v>
      </c>
      <c r="C9" s="42" t="s">
        <v>192</v>
      </c>
      <c r="D9" s="121">
        <v>2021</v>
      </c>
      <c r="E9" s="67" t="s">
        <v>72</v>
      </c>
      <c r="F9" s="273" t="s">
        <v>15</v>
      </c>
      <c r="G9" s="42">
        <v>0</v>
      </c>
      <c r="H9" s="42">
        <v>52</v>
      </c>
      <c r="I9" s="121">
        <v>0</v>
      </c>
      <c r="J9" s="42">
        <v>0</v>
      </c>
      <c r="K9" s="42">
        <v>0</v>
      </c>
      <c r="L9" s="227">
        <v>0</v>
      </c>
      <c r="M9" s="119">
        <v>0</v>
      </c>
      <c r="N9" s="119">
        <v>0</v>
      </c>
      <c r="O9" s="119">
        <v>36</v>
      </c>
      <c r="P9" s="42">
        <v>50</v>
      </c>
      <c r="Q9" s="42">
        <v>92</v>
      </c>
      <c r="R9" s="227">
        <v>61</v>
      </c>
      <c r="S9" s="119">
        <v>239</v>
      </c>
      <c r="T9" s="119">
        <v>203</v>
      </c>
      <c r="U9" s="219">
        <v>0</v>
      </c>
      <c r="V9" s="219">
        <v>0.19</v>
      </c>
    </row>
    <row r="10" spans="1:22" x14ac:dyDescent="0.35">
      <c r="A10" s="42">
        <v>4</v>
      </c>
      <c r="B10" s="175" t="str">
        <f>VLOOKUP(A10,Control!$A$1:$B$18,2)</f>
        <v xml:space="preserve">Cwm Taf Morgannwg UHB, Royal Glamorgan Hospital </v>
      </c>
      <c r="C10" s="42" t="s">
        <v>192</v>
      </c>
      <c r="D10" s="121">
        <v>2021</v>
      </c>
      <c r="E10" s="67" t="s">
        <v>64</v>
      </c>
      <c r="F10" s="273" t="s">
        <v>15</v>
      </c>
      <c r="G10" s="42">
        <v>0</v>
      </c>
      <c r="H10" s="42">
        <v>0</v>
      </c>
      <c r="I10" s="121">
        <v>4</v>
      </c>
      <c r="J10" s="42">
        <v>0</v>
      </c>
      <c r="K10" s="42">
        <v>0</v>
      </c>
      <c r="L10" s="227">
        <v>0</v>
      </c>
      <c r="M10" s="119">
        <v>4</v>
      </c>
      <c r="N10" s="119">
        <v>0</v>
      </c>
      <c r="O10" s="119">
        <v>0</v>
      </c>
      <c r="P10" s="42">
        <v>0</v>
      </c>
      <c r="Q10" s="42">
        <v>0</v>
      </c>
      <c r="R10" s="227">
        <v>0</v>
      </c>
      <c r="S10" s="119">
        <v>0</v>
      </c>
      <c r="T10" s="119">
        <v>0</v>
      </c>
      <c r="U10" s="219">
        <v>0.05</v>
      </c>
      <c r="V10" s="219">
        <v>0</v>
      </c>
    </row>
    <row r="11" spans="1:22" x14ac:dyDescent="0.35">
      <c r="A11" s="42">
        <v>5</v>
      </c>
      <c r="B11" s="175" t="str">
        <f>VLOOKUP(A11,Control!$A$1:$B$18,2)</f>
        <v>Cwm Taf Morgannwg UHB, Prince Charles Hospital</v>
      </c>
      <c r="C11" s="42" t="s">
        <v>192</v>
      </c>
      <c r="D11" s="121">
        <v>2021</v>
      </c>
      <c r="E11" s="67" t="s">
        <v>65</v>
      </c>
      <c r="F11" s="273" t="s">
        <v>15</v>
      </c>
      <c r="G11" s="42">
        <v>0</v>
      </c>
      <c r="H11" s="42">
        <v>26</v>
      </c>
      <c r="I11" s="121">
        <v>0</v>
      </c>
      <c r="J11" s="42">
        <v>0</v>
      </c>
      <c r="K11" s="42">
        <v>0</v>
      </c>
      <c r="L11" s="44">
        <v>0</v>
      </c>
      <c r="M11" s="119">
        <v>0</v>
      </c>
      <c r="N11" s="119">
        <v>0</v>
      </c>
      <c r="O11" s="119">
        <v>0</v>
      </c>
      <c r="P11" s="42">
        <v>0</v>
      </c>
      <c r="Q11" s="42">
        <v>0</v>
      </c>
      <c r="R11" s="44">
        <v>0</v>
      </c>
      <c r="S11" s="119">
        <v>0</v>
      </c>
      <c r="T11" s="119">
        <v>0</v>
      </c>
      <c r="U11" s="219">
        <v>0</v>
      </c>
      <c r="V11" s="219">
        <v>0</v>
      </c>
    </row>
    <row r="12" spans="1:22" x14ac:dyDescent="0.35">
      <c r="A12" s="42">
        <v>6</v>
      </c>
      <c r="B12" s="175" t="str">
        <f>VLOOKUP(A12,Control!$A$1:$B$18,2)</f>
        <v>Hywel Dda UHB, Glangwilli Hospital</v>
      </c>
      <c r="C12" s="193" t="s">
        <v>192</v>
      </c>
      <c r="D12" s="193">
        <v>2021</v>
      </c>
      <c r="E12" s="67" t="s">
        <v>68</v>
      </c>
      <c r="F12" s="273" t="s">
        <v>15</v>
      </c>
      <c r="G12" s="193">
        <v>0</v>
      </c>
      <c r="H12" s="193">
        <v>26</v>
      </c>
      <c r="I12" s="193">
        <v>0</v>
      </c>
      <c r="J12" s="193">
        <v>0</v>
      </c>
      <c r="K12" s="193">
        <v>0</v>
      </c>
      <c r="L12" s="44">
        <v>0</v>
      </c>
      <c r="M12" s="194">
        <v>0</v>
      </c>
      <c r="N12" s="194">
        <v>0</v>
      </c>
      <c r="O12" s="194">
        <v>38</v>
      </c>
      <c r="P12" s="193">
        <v>58</v>
      </c>
      <c r="Q12" s="193">
        <v>29</v>
      </c>
      <c r="R12" s="44">
        <v>10</v>
      </c>
      <c r="S12" s="194">
        <v>135</v>
      </c>
      <c r="T12" s="194">
        <v>97</v>
      </c>
      <c r="U12" s="219">
        <v>0</v>
      </c>
      <c r="V12" s="219">
        <v>0.08</v>
      </c>
    </row>
    <row r="13" spans="1:22" x14ac:dyDescent="0.35">
      <c r="A13" s="42">
        <v>7</v>
      </c>
      <c r="B13" s="175" t="str">
        <f>VLOOKUP(A13,Control!$A$1:$B$18,2)</f>
        <v>Hywel Dda UHB, Withybush Hospital</v>
      </c>
      <c r="C13" s="42"/>
      <c r="D13" s="121"/>
      <c r="E13" s="67"/>
      <c r="F13" s="273"/>
      <c r="G13" s="42" t="s">
        <v>193</v>
      </c>
      <c r="H13" s="42" t="s">
        <v>193</v>
      </c>
      <c r="I13" s="121" t="s">
        <v>193</v>
      </c>
      <c r="J13" s="42" t="s">
        <v>193</v>
      </c>
      <c r="K13" s="42" t="s">
        <v>193</v>
      </c>
      <c r="L13" s="227" t="s">
        <v>193</v>
      </c>
      <c r="M13" s="119" t="s">
        <v>193</v>
      </c>
      <c r="N13" s="119" t="s">
        <v>193</v>
      </c>
      <c r="O13" s="119" t="s">
        <v>193</v>
      </c>
      <c r="P13" s="42" t="s">
        <v>193</v>
      </c>
      <c r="Q13" s="42" t="s">
        <v>193</v>
      </c>
      <c r="R13" s="227" t="s">
        <v>193</v>
      </c>
      <c r="S13" s="119" t="s">
        <v>193</v>
      </c>
      <c r="T13" s="119" t="s">
        <v>193</v>
      </c>
      <c r="U13" s="219" t="s">
        <v>193</v>
      </c>
      <c r="V13" s="219" t="s">
        <v>193</v>
      </c>
    </row>
    <row r="14" spans="1:22" x14ac:dyDescent="0.35">
      <c r="A14" s="42">
        <v>8</v>
      </c>
      <c r="B14" s="175" t="str">
        <f>VLOOKUP(A14,Control!$A$1:$B$18,2)</f>
        <v>Swansea Bay UHB, Morriston / Singleton Hospitals</v>
      </c>
      <c r="C14" s="42"/>
      <c r="D14" s="121"/>
      <c r="E14" s="67"/>
      <c r="F14" s="273"/>
      <c r="G14" s="42" t="s">
        <v>193</v>
      </c>
      <c r="H14" s="42" t="s">
        <v>193</v>
      </c>
      <c r="I14" s="121" t="s">
        <v>193</v>
      </c>
      <c r="J14" s="42" t="s">
        <v>193</v>
      </c>
      <c r="K14" s="42" t="s">
        <v>193</v>
      </c>
      <c r="L14" s="44" t="s">
        <v>193</v>
      </c>
      <c r="M14" s="119" t="s">
        <v>193</v>
      </c>
      <c r="N14" s="119" t="s">
        <v>193</v>
      </c>
      <c r="O14" s="119" t="s">
        <v>193</v>
      </c>
      <c r="P14" s="42" t="s">
        <v>193</v>
      </c>
      <c r="Q14" s="42" t="s">
        <v>193</v>
      </c>
      <c r="R14" s="44" t="s">
        <v>193</v>
      </c>
      <c r="S14" s="119" t="s">
        <v>193</v>
      </c>
      <c r="T14" s="119" t="s">
        <v>193</v>
      </c>
      <c r="U14" s="219" t="s">
        <v>193</v>
      </c>
      <c r="V14" s="219" t="s">
        <v>193</v>
      </c>
    </row>
    <row r="15" spans="1:22" x14ac:dyDescent="0.35">
      <c r="A15" s="42">
        <v>9</v>
      </c>
      <c r="B15" s="175" t="str">
        <f>VLOOKUP(A15,Control!$A$1:$B$18,2)</f>
        <v xml:space="preserve">Barnstaple, North Devon District Hospital </v>
      </c>
      <c r="C15" s="42"/>
      <c r="D15" s="121"/>
      <c r="E15" s="67"/>
      <c r="F15" s="273"/>
      <c r="G15" s="42" t="s">
        <v>193</v>
      </c>
      <c r="H15" s="42" t="s">
        <v>193</v>
      </c>
      <c r="I15" s="121" t="s">
        <v>193</v>
      </c>
      <c r="J15" s="42" t="s">
        <v>193</v>
      </c>
      <c r="K15" s="42" t="s">
        <v>193</v>
      </c>
      <c r="L15" s="227" t="s">
        <v>193</v>
      </c>
      <c r="M15" s="119" t="s">
        <v>193</v>
      </c>
      <c r="N15" s="119" t="s">
        <v>193</v>
      </c>
      <c r="O15" s="119" t="s">
        <v>193</v>
      </c>
      <c r="P15" s="42" t="s">
        <v>193</v>
      </c>
      <c r="Q15" s="42" t="s">
        <v>193</v>
      </c>
      <c r="R15" s="227" t="s">
        <v>193</v>
      </c>
      <c r="S15" s="119" t="s">
        <v>193</v>
      </c>
      <c r="T15" s="119" t="s">
        <v>193</v>
      </c>
      <c r="U15" s="219" t="s">
        <v>193</v>
      </c>
      <c r="V15" s="219" t="s">
        <v>193</v>
      </c>
    </row>
    <row r="16" spans="1:22" x14ac:dyDescent="0.35">
      <c r="A16" s="42">
        <v>10</v>
      </c>
      <c r="B16" s="175" t="str">
        <f>VLOOKUP(A16,Control!$A$1:$B$18,2)</f>
        <v xml:space="preserve">Bath, Royal United Hospital </v>
      </c>
      <c r="C16" s="42"/>
      <c r="D16" s="121"/>
      <c r="E16" s="67"/>
      <c r="F16" s="273"/>
      <c r="G16" s="42" t="s">
        <v>193</v>
      </c>
      <c r="H16" s="42" t="s">
        <v>193</v>
      </c>
      <c r="I16" s="121" t="s">
        <v>193</v>
      </c>
      <c r="J16" s="42" t="s">
        <v>193</v>
      </c>
      <c r="K16" s="42" t="s">
        <v>193</v>
      </c>
      <c r="L16" s="227" t="s">
        <v>193</v>
      </c>
      <c r="M16" s="119" t="s">
        <v>193</v>
      </c>
      <c r="N16" s="119" t="s">
        <v>193</v>
      </c>
      <c r="O16" s="119" t="s">
        <v>193</v>
      </c>
      <c r="P16" s="42" t="s">
        <v>193</v>
      </c>
      <c r="Q16" s="42" t="s">
        <v>193</v>
      </c>
      <c r="R16" s="227" t="s">
        <v>193</v>
      </c>
      <c r="S16" s="119" t="s">
        <v>193</v>
      </c>
      <c r="T16" s="119" t="s">
        <v>193</v>
      </c>
      <c r="U16" s="219" t="s">
        <v>193</v>
      </c>
      <c r="V16" s="219" t="s">
        <v>193</v>
      </c>
    </row>
    <row r="17" spans="1:22" x14ac:dyDescent="0.35">
      <c r="A17" s="42">
        <v>11</v>
      </c>
      <c r="B17" s="175" t="str">
        <f>VLOOKUP(A17,Control!$A$1:$B$18,2)</f>
        <v>Bristol, Bristol Heart Institute / Bristol Royal Hospital for Children</v>
      </c>
      <c r="C17" s="42" t="s">
        <v>192</v>
      </c>
      <c r="D17" s="121">
        <v>2021</v>
      </c>
      <c r="E17" s="67" t="s">
        <v>57</v>
      </c>
      <c r="F17" s="273" t="s">
        <v>15</v>
      </c>
      <c r="G17" s="42">
        <v>18</v>
      </c>
      <c r="H17" s="42">
        <v>0</v>
      </c>
      <c r="I17" s="121">
        <v>278</v>
      </c>
      <c r="J17" s="42">
        <v>67</v>
      </c>
      <c r="K17" s="42">
        <v>47</v>
      </c>
      <c r="L17" s="227">
        <v>0</v>
      </c>
      <c r="M17" s="119">
        <v>392</v>
      </c>
      <c r="N17" s="119">
        <v>114</v>
      </c>
      <c r="O17" s="119">
        <v>0</v>
      </c>
      <c r="P17" s="42">
        <v>0</v>
      </c>
      <c r="Q17" s="42">
        <v>0</v>
      </c>
      <c r="R17" s="227">
        <v>0</v>
      </c>
      <c r="S17" s="119">
        <v>0</v>
      </c>
      <c r="T17" s="119">
        <v>0</v>
      </c>
      <c r="U17" s="219">
        <v>0.14000000000000001</v>
      </c>
      <c r="V17" s="219">
        <v>0</v>
      </c>
    </row>
    <row r="18" spans="1:22" x14ac:dyDescent="0.35">
      <c r="A18" s="42">
        <v>12</v>
      </c>
      <c r="B18" s="175" t="str">
        <f>VLOOKUP(A18,Control!$A$1:$B$18,2)</f>
        <v xml:space="preserve">Exeter, Royal Devon and Exeter Hospital </v>
      </c>
      <c r="C18" s="42"/>
      <c r="D18" s="121"/>
      <c r="E18" s="67"/>
      <c r="F18" s="273"/>
      <c r="G18" s="42" t="s">
        <v>193</v>
      </c>
      <c r="H18" s="42" t="s">
        <v>193</v>
      </c>
      <c r="I18" s="121" t="s">
        <v>193</v>
      </c>
      <c r="J18" s="42" t="s">
        <v>193</v>
      </c>
      <c r="K18" s="42" t="s">
        <v>193</v>
      </c>
      <c r="L18" s="227" t="s">
        <v>193</v>
      </c>
      <c r="M18" s="119" t="s">
        <v>193</v>
      </c>
      <c r="N18" s="119" t="s">
        <v>193</v>
      </c>
      <c r="O18" s="119" t="s">
        <v>193</v>
      </c>
      <c r="P18" s="42" t="s">
        <v>193</v>
      </c>
      <c r="Q18" s="42" t="s">
        <v>193</v>
      </c>
      <c r="R18" s="227" t="s">
        <v>193</v>
      </c>
      <c r="S18" s="119" t="s">
        <v>193</v>
      </c>
      <c r="T18" s="119" t="s">
        <v>193</v>
      </c>
      <c r="U18" s="219" t="s">
        <v>193</v>
      </c>
      <c r="V18" s="219" t="s">
        <v>193</v>
      </c>
    </row>
    <row r="19" spans="1:22" x14ac:dyDescent="0.35">
      <c r="A19" s="42">
        <v>13</v>
      </c>
      <c r="B19" s="175" t="str">
        <f>VLOOKUP(A19,Control!$A$1:$B$18,2)</f>
        <v>Gloucester, Gloucestershire Hospitals</v>
      </c>
      <c r="C19" s="42" t="s">
        <v>192</v>
      </c>
      <c r="D19" s="121">
        <v>2021</v>
      </c>
      <c r="E19" s="67" t="s">
        <v>74</v>
      </c>
      <c r="F19" s="273" t="s">
        <v>15</v>
      </c>
      <c r="G19" s="42">
        <v>13</v>
      </c>
      <c r="H19" s="42">
        <v>13</v>
      </c>
      <c r="I19" s="121">
        <v>1</v>
      </c>
      <c r="J19" s="42">
        <v>0</v>
      </c>
      <c r="K19" s="42">
        <v>54</v>
      </c>
      <c r="L19" s="44">
        <v>0</v>
      </c>
      <c r="M19" s="119">
        <v>55</v>
      </c>
      <c r="N19" s="119">
        <v>54</v>
      </c>
      <c r="O19" s="119">
        <v>1</v>
      </c>
      <c r="P19" s="42">
        <v>0</v>
      </c>
      <c r="Q19" s="42">
        <v>54</v>
      </c>
      <c r="R19" s="44">
        <v>0</v>
      </c>
      <c r="S19" s="119">
        <v>55</v>
      </c>
      <c r="T19" s="119">
        <v>54</v>
      </c>
      <c r="U19" s="219">
        <v>0.17</v>
      </c>
      <c r="V19" s="219">
        <v>0.17</v>
      </c>
    </row>
    <row r="20" spans="1:22" x14ac:dyDescent="0.35">
      <c r="A20" s="42">
        <v>14</v>
      </c>
      <c r="B20" s="175" t="str">
        <f>VLOOKUP(A20,Control!$A$1:$B$18,2)</f>
        <v xml:space="preserve">Plymouth, Derriford Hospital </v>
      </c>
      <c r="C20" s="42" t="s">
        <v>192</v>
      </c>
      <c r="D20" s="121">
        <v>2021</v>
      </c>
      <c r="E20" s="67" t="s">
        <v>86</v>
      </c>
      <c r="F20" s="273" t="s">
        <v>15</v>
      </c>
      <c r="G20" s="42">
        <v>21</v>
      </c>
      <c r="H20" s="42">
        <v>0</v>
      </c>
      <c r="I20" s="121">
        <v>227</v>
      </c>
      <c r="J20" s="42">
        <v>88</v>
      </c>
      <c r="K20" s="42">
        <v>141</v>
      </c>
      <c r="L20" s="227">
        <v>261</v>
      </c>
      <c r="M20" s="119">
        <v>717</v>
      </c>
      <c r="N20" s="119">
        <v>490</v>
      </c>
      <c r="O20" s="119">
        <v>0</v>
      </c>
      <c r="P20" s="42">
        <v>0</v>
      </c>
      <c r="Q20" s="42">
        <v>0</v>
      </c>
      <c r="R20" s="227">
        <v>0</v>
      </c>
      <c r="S20" s="119">
        <v>0</v>
      </c>
      <c r="T20" s="119">
        <v>0</v>
      </c>
      <c r="U20" s="219">
        <v>0.03</v>
      </c>
      <c r="V20" s="219">
        <v>0</v>
      </c>
    </row>
    <row r="21" spans="1:22" x14ac:dyDescent="0.35">
      <c r="A21" s="42">
        <v>15</v>
      </c>
      <c r="B21" s="175" t="str">
        <f>VLOOKUP(A21,Control!$A$1:$B$18,2)</f>
        <v xml:space="preserve">Swindon, Great Weston Hospital </v>
      </c>
      <c r="C21" s="42"/>
      <c r="D21" s="121"/>
      <c r="E21" s="67"/>
      <c r="F21" s="273"/>
      <c r="G21" s="42" t="s">
        <v>193</v>
      </c>
      <c r="H21" s="42" t="s">
        <v>193</v>
      </c>
      <c r="I21" s="121" t="s">
        <v>193</v>
      </c>
      <c r="J21" s="42" t="s">
        <v>193</v>
      </c>
      <c r="K21" s="42" t="s">
        <v>193</v>
      </c>
      <c r="L21" s="44" t="s">
        <v>193</v>
      </c>
      <c r="M21" s="119" t="s">
        <v>193</v>
      </c>
      <c r="N21" s="119" t="s">
        <v>193</v>
      </c>
      <c r="O21" s="119" t="s">
        <v>193</v>
      </c>
      <c r="P21" s="42" t="s">
        <v>193</v>
      </c>
      <c r="Q21" s="42" t="s">
        <v>193</v>
      </c>
      <c r="R21" s="44" t="s">
        <v>193</v>
      </c>
      <c r="S21" s="119" t="s">
        <v>193</v>
      </c>
      <c r="T21" s="119" t="s">
        <v>193</v>
      </c>
      <c r="U21" s="219" t="s">
        <v>193</v>
      </c>
      <c r="V21" s="219" t="s">
        <v>193</v>
      </c>
    </row>
    <row r="22" spans="1:22" x14ac:dyDescent="0.35">
      <c r="A22" s="42">
        <v>16</v>
      </c>
      <c r="B22" s="175" t="str">
        <f>VLOOKUP(A22,Control!$A$1:$B$18,2)</f>
        <v xml:space="preserve">Taunton, Musgrove Park Hospital </v>
      </c>
      <c r="C22" s="42" t="s">
        <v>192</v>
      </c>
      <c r="D22" s="121">
        <v>2021</v>
      </c>
      <c r="E22" s="67" t="s">
        <v>75</v>
      </c>
      <c r="F22" s="273" t="s">
        <v>15</v>
      </c>
      <c r="G22" s="46">
        <v>9</v>
      </c>
      <c r="H22" s="46">
        <v>5</v>
      </c>
      <c r="I22" s="46">
        <v>14</v>
      </c>
      <c r="J22" s="46">
        <v>43</v>
      </c>
      <c r="K22" s="46">
        <v>31</v>
      </c>
      <c r="L22" s="47">
        <v>0</v>
      </c>
      <c r="M22" s="68">
        <v>88</v>
      </c>
      <c r="N22" s="68">
        <v>74</v>
      </c>
      <c r="O22" s="68">
        <v>15</v>
      </c>
      <c r="P22" s="46">
        <v>14</v>
      </c>
      <c r="Q22" s="46">
        <v>9</v>
      </c>
      <c r="R22" s="47">
        <v>0</v>
      </c>
      <c r="S22" s="68">
        <v>38</v>
      </c>
      <c r="T22" s="68">
        <v>23</v>
      </c>
      <c r="U22" s="219">
        <v>0</v>
      </c>
      <c r="V22" s="219">
        <v>7.0000000000000007E-2</v>
      </c>
    </row>
    <row r="23" spans="1:22" x14ac:dyDescent="0.35">
      <c r="A23" s="57">
        <v>17</v>
      </c>
      <c r="B23" s="175" t="str">
        <f>VLOOKUP(A23,Control!$A$1:$B$18,2)</f>
        <v xml:space="preserve">Torquay, Torbay General District Hospital </v>
      </c>
      <c r="C23" s="224"/>
      <c r="D23" s="224"/>
      <c r="E23" s="67"/>
      <c r="F23" s="273"/>
      <c r="G23" s="46" t="s">
        <v>193</v>
      </c>
      <c r="H23" s="46" t="s">
        <v>193</v>
      </c>
      <c r="I23" s="46" t="s">
        <v>193</v>
      </c>
      <c r="J23" s="46" t="s">
        <v>193</v>
      </c>
      <c r="K23" s="46" t="s">
        <v>193</v>
      </c>
      <c r="L23" s="47" t="s">
        <v>193</v>
      </c>
      <c r="M23" s="68" t="s">
        <v>193</v>
      </c>
      <c r="N23" s="68" t="s">
        <v>193</v>
      </c>
      <c r="O23" s="68" t="s">
        <v>193</v>
      </c>
      <c r="P23" s="46" t="s">
        <v>193</v>
      </c>
      <c r="Q23" s="46" t="s">
        <v>193</v>
      </c>
      <c r="R23" s="47" t="s">
        <v>193</v>
      </c>
      <c r="S23" s="68" t="s">
        <v>193</v>
      </c>
      <c r="T23" s="68" t="s">
        <v>193</v>
      </c>
      <c r="U23" s="219" t="s">
        <v>193</v>
      </c>
      <c r="V23" s="219" t="s">
        <v>193</v>
      </c>
    </row>
    <row r="24" spans="1:22" x14ac:dyDescent="0.35">
      <c r="A24" s="57">
        <v>18</v>
      </c>
      <c r="B24" s="178" t="str">
        <f>VLOOKUP(A24,Control!$A$1:$B$18,2)</f>
        <v xml:space="preserve">Truro, Royal Cornwall Hospital </v>
      </c>
      <c r="C24" s="42"/>
      <c r="D24" s="121"/>
      <c r="E24" s="67"/>
      <c r="F24" s="273"/>
      <c r="G24" s="225" t="s">
        <v>193</v>
      </c>
      <c r="H24" s="225" t="s">
        <v>193</v>
      </c>
      <c r="I24" s="225" t="s">
        <v>193</v>
      </c>
      <c r="J24" s="225" t="s">
        <v>193</v>
      </c>
      <c r="K24" s="225" t="s">
        <v>193</v>
      </c>
      <c r="L24" s="227" t="s">
        <v>193</v>
      </c>
      <c r="M24" s="226" t="s">
        <v>193</v>
      </c>
      <c r="N24" s="226" t="s">
        <v>193</v>
      </c>
      <c r="O24" s="226" t="s">
        <v>193</v>
      </c>
      <c r="P24" s="225" t="s">
        <v>193</v>
      </c>
      <c r="Q24" s="225" t="s">
        <v>193</v>
      </c>
      <c r="R24" s="227" t="s">
        <v>193</v>
      </c>
      <c r="S24" s="226" t="s">
        <v>193</v>
      </c>
      <c r="T24" s="226" t="s">
        <v>193</v>
      </c>
      <c r="U24" s="219" t="s">
        <v>193</v>
      </c>
      <c r="V24" s="219" t="s">
        <v>193</v>
      </c>
    </row>
    <row r="25" spans="1:22" x14ac:dyDescent="0.35">
      <c r="A25" s="121"/>
      <c r="B25" s="121"/>
      <c r="C25" s="53"/>
      <c r="D25" s="121"/>
      <c r="E25" s="272" t="str">
        <f t="shared" ref="E25:V25" ca="1" si="0">OFFSET(E7,AdultChoice-1,0)</f>
        <v>AB UHB combined</v>
      </c>
      <c r="F25" s="274" t="str">
        <f t="shared" ca="1" si="0"/>
        <v>Adults</v>
      </c>
      <c r="G25" s="66">
        <f t="shared" ca="1" si="0"/>
        <v>0</v>
      </c>
      <c r="H25" s="66">
        <f t="shared" ca="1" si="0"/>
        <v>0</v>
      </c>
      <c r="I25" s="66">
        <f t="shared" ca="1" si="0"/>
        <v>35</v>
      </c>
      <c r="J25" s="66">
        <f t="shared" ca="1" si="0"/>
        <v>31</v>
      </c>
      <c r="K25" s="66">
        <f t="shared" ca="1" si="0"/>
        <v>69</v>
      </c>
      <c r="L25" s="66">
        <f t="shared" ca="1" si="0"/>
        <v>42</v>
      </c>
      <c r="M25" s="66">
        <f t="shared" ca="1" si="0"/>
        <v>177</v>
      </c>
      <c r="N25" s="66">
        <f t="shared" ca="1" si="0"/>
        <v>142</v>
      </c>
      <c r="O25" s="66">
        <f t="shared" ca="1" si="0"/>
        <v>0</v>
      </c>
      <c r="P25" s="66">
        <f t="shared" ca="1" si="0"/>
        <v>0</v>
      </c>
      <c r="Q25" s="66">
        <f t="shared" ca="1" si="0"/>
        <v>0</v>
      </c>
      <c r="R25" s="66">
        <f t="shared" ca="1" si="0"/>
        <v>0</v>
      </c>
      <c r="S25" s="66">
        <f t="shared" ca="1" si="0"/>
        <v>0</v>
      </c>
      <c r="T25" s="66">
        <f t="shared" ca="1" si="0"/>
        <v>0</v>
      </c>
      <c r="U25" s="136">
        <f t="shared" ca="1" si="0"/>
        <v>0.05</v>
      </c>
      <c r="V25" s="136">
        <f t="shared" ca="1" si="0"/>
        <v>0</v>
      </c>
    </row>
    <row r="26" spans="1:22" x14ac:dyDescent="0.35">
      <c r="A26" s="59"/>
      <c r="B26" s="119"/>
      <c r="C26" s="59"/>
      <c r="D26" s="119"/>
      <c r="E26" s="31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</row>
    <row r="27" spans="1:22" ht="21" x14ac:dyDescent="0.35">
      <c r="A27" s="70" t="s">
        <v>90</v>
      </c>
      <c r="B27" s="70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</row>
    <row r="28" spans="1:22" x14ac:dyDescent="0.35"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1">
        <v>11</v>
      </c>
      <c r="L28" s="1">
        <v>12</v>
      </c>
      <c r="M28" s="1">
        <v>13</v>
      </c>
      <c r="N28" s="1">
        <v>14</v>
      </c>
      <c r="O28" s="1">
        <v>15</v>
      </c>
      <c r="P28" s="1">
        <v>16</v>
      </c>
      <c r="Q28" s="1">
        <v>17</v>
      </c>
      <c r="R28" s="1">
        <v>18</v>
      </c>
      <c r="S28" s="1">
        <v>19</v>
      </c>
      <c r="T28" s="1">
        <v>20</v>
      </c>
      <c r="U28" s="1">
        <v>21</v>
      </c>
      <c r="V28" s="1">
        <v>22</v>
      </c>
    </row>
    <row r="29" spans="1:22" x14ac:dyDescent="0.35">
      <c r="A29" s="121"/>
      <c r="B29" s="121"/>
      <c r="C29" s="494" t="s">
        <v>139</v>
      </c>
      <c r="D29" s="494" t="s">
        <v>140</v>
      </c>
      <c r="E29" s="495" t="s">
        <v>0</v>
      </c>
      <c r="F29" s="494" t="s">
        <v>141</v>
      </c>
      <c r="G29" s="494" t="s">
        <v>47</v>
      </c>
      <c r="H29" s="494"/>
      <c r="I29" s="494" t="s">
        <v>48</v>
      </c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 t="s">
        <v>46</v>
      </c>
      <c r="V29" s="494"/>
    </row>
    <row r="30" spans="1:22" x14ac:dyDescent="0.35">
      <c r="A30" s="121"/>
      <c r="B30" s="121"/>
      <c r="C30" s="494"/>
      <c r="D30" s="494"/>
      <c r="E30" s="495"/>
      <c r="F30" s="494"/>
      <c r="G30" s="494" t="s">
        <v>2</v>
      </c>
      <c r="H30" s="494" t="s">
        <v>3</v>
      </c>
      <c r="I30" s="494" t="s">
        <v>2</v>
      </c>
      <c r="J30" s="494"/>
      <c r="K30" s="494"/>
      <c r="L30" s="494"/>
      <c r="M30" s="494"/>
      <c r="N30" s="494"/>
      <c r="O30" s="494" t="s">
        <v>45</v>
      </c>
      <c r="P30" s="494"/>
      <c r="Q30" s="494"/>
      <c r="R30" s="494"/>
      <c r="S30" s="494"/>
      <c r="T30" s="494"/>
      <c r="U30" s="494" t="s">
        <v>2</v>
      </c>
      <c r="V30" s="494" t="s">
        <v>45</v>
      </c>
    </row>
    <row r="31" spans="1:22" ht="29" x14ac:dyDescent="0.35">
      <c r="A31" s="121"/>
      <c r="B31" s="121"/>
      <c r="C31" s="494"/>
      <c r="D31" s="494"/>
      <c r="E31" s="495"/>
      <c r="F31" s="494"/>
      <c r="G31" s="494"/>
      <c r="H31" s="494"/>
      <c r="I31" s="121" t="s">
        <v>142</v>
      </c>
      <c r="J31" s="121" t="s">
        <v>41</v>
      </c>
      <c r="K31" s="121" t="s">
        <v>42</v>
      </c>
      <c r="L31" s="44" t="s">
        <v>43</v>
      </c>
      <c r="M31" s="121" t="s">
        <v>143</v>
      </c>
      <c r="N31" s="121" t="s">
        <v>144</v>
      </c>
      <c r="O31" s="121" t="s">
        <v>142</v>
      </c>
      <c r="P31" s="121" t="s">
        <v>41</v>
      </c>
      <c r="Q31" s="121" t="s">
        <v>42</v>
      </c>
      <c r="R31" s="44" t="s">
        <v>43</v>
      </c>
      <c r="S31" s="121" t="s">
        <v>143</v>
      </c>
      <c r="T31" s="121" t="s">
        <v>145</v>
      </c>
      <c r="U31" s="494"/>
      <c r="V31" s="494"/>
    </row>
    <row r="32" spans="1:22" x14ac:dyDescent="0.35">
      <c r="A32" s="121">
        <v>1</v>
      </c>
      <c r="B32" s="175" t="str">
        <f>VLOOKUP(A32,Control!$A$1:$B$18,2)</f>
        <v>Aneurin Bevan UHB, Nevill Hall &amp; Royal Gwent Hospitals</v>
      </c>
      <c r="C32" s="121"/>
      <c r="D32" s="121"/>
      <c r="E32" s="67"/>
      <c r="F32" s="45"/>
      <c r="G32" s="121" t="s">
        <v>193</v>
      </c>
      <c r="H32" s="121" t="s">
        <v>193</v>
      </c>
      <c r="I32" s="121" t="s">
        <v>193</v>
      </c>
      <c r="J32" s="121" t="s">
        <v>193</v>
      </c>
      <c r="K32" s="121" t="s">
        <v>193</v>
      </c>
      <c r="L32" s="44" t="s">
        <v>193</v>
      </c>
      <c r="M32" s="119" t="s">
        <v>193</v>
      </c>
      <c r="N32" s="119" t="s">
        <v>193</v>
      </c>
      <c r="O32" s="119" t="s">
        <v>193</v>
      </c>
      <c r="P32" s="121" t="s">
        <v>193</v>
      </c>
      <c r="Q32" s="121" t="s">
        <v>193</v>
      </c>
      <c r="R32" s="44" t="s">
        <v>193</v>
      </c>
      <c r="S32" s="119" t="s">
        <v>193</v>
      </c>
      <c r="T32" s="119" t="s">
        <v>193</v>
      </c>
      <c r="U32" s="219" t="s">
        <v>193</v>
      </c>
      <c r="V32" s="219" t="s">
        <v>193</v>
      </c>
    </row>
    <row r="33" spans="1:22" x14ac:dyDescent="0.35">
      <c r="A33" s="121">
        <v>2</v>
      </c>
      <c r="B33" s="175" t="str">
        <f>VLOOKUP(A33,Control!$A$1:$B$18,2)</f>
        <v>Cardiff &amp; Vale UHB, Noah’s Ark / University Hospital Wales</v>
      </c>
      <c r="C33" s="121" t="s">
        <v>192</v>
      </c>
      <c r="D33" s="121">
        <v>2021</v>
      </c>
      <c r="E33" s="67" t="s">
        <v>71</v>
      </c>
      <c r="F33" s="45" t="s">
        <v>16</v>
      </c>
      <c r="G33" s="121">
        <v>5</v>
      </c>
      <c r="H33" s="121">
        <v>0</v>
      </c>
      <c r="I33" s="121">
        <v>257</v>
      </c>
      <c r="J33" s="121">
        <v>113</v>
      </c>
      <c r="K33" s="121">
        <v>59</v>
      </c>
      <c r="L33" s="44">
        <v>284</v>
      </c>
      <c r="M33" s="119">
        <v>713</v>
      </c>
      <c r="N33" s="119">
        <v>456</v>
      </c>
      <c r="O33" s="119">
        <v>0</v>
      </c>
      <c r="P33" s="121">
        <v>0</v>
      </c>
      <c r="Q33" s="121">
        <v>0</v>
      </c>
      <c r="R33" s="44">
        <v>0</v>
      </c>
      <c r="S33" s="119">
        <v>0</v>
      </c>
      <c r="T33" s="119">
        <v>0</v>
      </c>
      <c r="U33" s="219">
        <v>0.15</v>
      </c>
      <c r="V33" s="219">
        <v>0</v>
      </c>
    </row>
    <row r="34" spans="1:22" x14ac:dyDescent="0.35">
      <c r="A34" s="121">
        <v>3</v>
      </c>
      <c r="B34" s="175" t="str">
        <f>VLOOKUP(A34,Control!$A$1:$B$18,2)</f>
        <v>Cwm Taf Morgannwg UHB, Princess of Wales Hospital</v>
      </c>
      <c r="C34" s="121"/>
      <c r="D34" s="121"/>
      <c r="E34" s="67"/>
      <c r="F34" s="45"/>
      <c r="G34" s="121" t="s">
        <v>193</v>
      </c>
      <c r="H34" s="121" t="s">
        <v>193</v>
      </c>
      <c r="I34" s="121" t="s">
        <v>193</v>
      </c>
      <c r="J34" s="121" t="s">
        <v>193</v>
      </c>
      <c r="K34" s="121" t="s">
        <v>193</v>
      </c>
      <c r="L34" s="227" t="s">
        <v>193</v>
      </c>
      <c r="M34" s="119" t="s">
        <v>193</v>
      </c>
      <c r="N34" s="119" t="s">
        <v>193</v>
      </c>
      <c r="O34" s="119" t="s">
        <v>193</v>
      </c>
      <c r="P34" s="121" t="s">
        <v>193</v>
      </c>
      <c r="Q34" s="121" t="s">
        <v>193</v>
      </c>
      <c r="R34" s="227" t="s">
        <v>193</v>
      </c>
      <c r="S34" s="119" t="s">
        <v>193</v>
      </c>
      <c r="T34" s="119" t="s">
        <v>193</v>
      </c>
      <c r="U34" s="219" t="s">
        <v>193</v>
      </c>
      <c r="V34" s="219" t="s">
        <v>193</v>
      </c>
    </row>
    <row r="35" spans="1:22" x14ac:dyDescent="0.35">
      <c r="A35" s="121">
        <v>4</v>
      </c>
      <c r="B35" s="175" t="str">
        <f>VLOOKUP(A35,Control!$A$1:$B$18,2)</f>
        <v xml:space="preserve">Cwm Taf Morgannwg UHB, Royal Glamorgan Hospital </v>
      </c>
      <c r="C35" s="121" t="s">
        <v>192</v>
      </c>
      <c r="D35" s="121">
        <v>2021</v>
      </c>
      <c r="E35" s="67" t="s">
        <v>64</v>
      </c>
      <c r="F35" s="45" t="s">
        <v>16</v>
      </c>
      <c r="G35" s="121">
        <v>9</v>
      </c>
      <c r="H35" s="121">
        <v>11</v>
      </c>
      <c r="I35" s="121">
        <v>6</v>
      </c>
      <c r="J35" s="121">
        <v>6</v>
      </c>
      <c r="K35" s="121">
        <v>4</v>
      </c>
      <c r="L35" s="44">
        <v>0</v>
      </c>
      <c r="M35" s="119">
        <v>16</v>
      </c>
      <c r="N35" s="119">
        <v>10</v>
      </c>
      <c r="O35" s="119">
        <v>20</v>
      </c>
      <c r="P35" s="121">
        <v>6</v>
      </c>
      <c r="Q35" s="121">
        <v>4</v>
      </c>
      <c r="R35" s="44">
        <v>7</v>
      </c>
      <c r="S35" s="119">
        <v>37</v>
      </c>
      <c r="T35" s="119">
        <v>17</v>
      </c>
      <c r="U35" s="219">
        <v>0.3095</v>
      </c>
      <c r="V35" s="219">
        <v>0.06</v>
      </c>
    </row>
    <row r="36" spans="1:22" x14ac:dyDescent="0.35">
      <c r="A36" s="121">
        <v>5</v>
      </c>
      <c r="B36" s="175" t="str">
        <f>VLOOKUP(A36,Control!$A$1:$B$18,2)</f>
        <v>Cwm Taf Morgannwg UHB, Prince Charles Hospital</v>
      </c>
      <c r="C36" s="193" t="s">
        <v>192</v>
      </c>
      <c r="D36" s="193">
        <v>2021</v>
      </c>
      <c r="E36" s="67" t="s">
        <v>65</v>
      </c>
      <c r="F36" s="45" t="s">
        <v>16</v>
      </c>
      <c r="G36" s="193">
        <v>14</v>
      </c>
      <c r="H36" s="193">
        <v>30</v>
      </c>
      <c r="I36" s="193">
        <v>2</v>
      </c>
      <c r="J36" s="193">
        <v>12</v>
      </c>
      <c r="K36" s="193">
        <v>10</v>
      </c>
      <c r="L36" s="44">
        <v>6</v>
      </c>
      <c r="M36" s="194">
        <v>30</v>
      </c>
      <c r="N36" s="194">
        <v>28</v>
      </c>
      <c r="O36" s="194">
        <v>7</v>
      </c>
      <c r="P36" s="193">
        <v>6</v>
      </c>
      <c r="Q36" s="193">
        <v>11</v>
      </c>
      <c r="R36" s="44">
        <v>10</v>
      </c>
      <c r="S36" s="194">
        <v>34</v>
      </c>
      <c r="T36" s="194">
        <v>27</v>
      </c>
      <c r="U36" s="219">
        <v>0.20369999999999999</v>
      </c>
      <c r="V36" s="219">
        <v>4.65E-2</v>
      </c>
    </row>
    <row r="37" spans="1:22" x14ac:dyDescent="0.35">
      <c r="A37" s="121">
        <v>6</v>
      </c>
      <c r="B37" s="175" t="str">
        <f>VLOOKUP(A37,Control!$A$1:$B$18,2)</f>
        <v>Hywel Dda UHB, Glangwilli Hospital</v>
      </c>
      <c r="C37" s="121" t="s">
        <v>192</v>
      </c>
      <c r="D37" s="121">
        <v>2021</v>
      </c>
      <c r="E37" s="67" t="s">
        <v>68</v>
      </c>
      <c r="F37" s="45" t="s">
        <v>16</v>
      </c>
      <c r="G37" s="121">
        <v>76</v>
      </c>
      <c r="H37" s="121">
        <v>65</v>
      </c>
      <c r="I37" s="121">
        <v>17</v>
      </c>
      <c r="J37" s="121">
        <v>11</v>
      </c>
      <c r="K37" s="121">
        <v>12</v>
      </c>
      <c r="L37" s="227">
        <v>0</v>
      </c>
      <c r="M37" s="119">
        <v>40</v>
      </c>
      <c r="N37" s="119">
        <v>23</v>
      </c>
      <c r="O37" s="119">
        <v>17</v>
      </c>
      <c r="P37" s="121">
        <v>7</v>
      </c>
      <c r="Q37" s="121">
        <v>11</v>
      </c>
      <c r="R37" s="227">
        <v>0</v>
      </c>
      <c r="S37" s="119">
        <v>35</v>
      </c>
      <c r="T37" s="119">
        <v>18</v>
      </c>
      <c r="U37" s="219">
        <v>0</v>
      </c>
      <c r="V37" s="219">
        <v>0</v>
      </c>
    </row>
    <row r="38" spans="1:22" x14ac:dyDescent="0.35">
      <c r="A38" s="121">
        <v>7</v>
      </c>
      <c r="B38" s="175" t="str">
        <f>VLOOKUP(A38,Control!$A$1:$B$18,2)</f>
        <v>Hywel Dda UHB, Withybush Hospital</v>
      </c>
      <c r="C38" s="193" t="s">
        <v>192</v>
      </c>
      <c r="D38" s="193">
        <v>2021</v>
      </c>
      <c r="E38" s="67" t="s">
        <v>88</v>
      </c>
      <c r="F38" s="45" t="s">
        <v>16</v>
      </c>
      <c r="G38" s="193">
        <v>22</v>
      </c>
      <c r="H38" s="193">
        <v>40</v>
      </c>
      <c r="I38" s="193">
        <v>0</v>
      </c>
      <c r="J38" s="193">
        <v>1</v>
      </c>
      <c r="K38" s="193">
        <v>1</v>
      </c>
      <c r="L38" s="44">
        <v>0</v>
      </c>
      <c r="M38" s="194">
        <v>2</v>
      </c>
      <c r="N38" s="194">
        <v>2</v>
      </c>
      <c r="O38" s="194">
        <v>2</v>
      </c>
      <c r="P38" s="193">
        <v>1</v>
      </c>
      <c r="Q38" s="193">
        <v>0</v>
      </c>
      <c r="R38" s="44">
        <v>0</v>
      </c>
      <c r="S38" s="194">
        <v>3</v>
      </c>
      <c r="T38" s="194">
        <v>1</v>
      </c>
      <c r="U38" s="219">
        <v>0</v>
      </c>
      <c r="V38" s="219">
        <v>0</v>
      </c>
    </row>
    <row r="39" spans="1:22" x14ac:dyDescent="0.35">
      <c r="A39" s="121">
        <v>8</v>
      </c>
      <c r="B39" s="175" t="str">
        <f>VLOOKUP(A39,Control!$A$1:$B$18,2)</f>
        <v>Swansea Bay UHB, Morriston / Singleton Hospitals</v>
      </c>
      <c r="C39" s="121" t="s">
        <v>192</v>
      </c>
      <c r="D39" s="121">
        <v>2021</v>
      </c>
      <c r="E39" s="67" t="s">
        <v>80</v>
      </c>
      <c r="F39" s="45" t="s">
        <v>16</v>
      </c>
      <c r="G39" s="121">
        <v>16</v>
      </c>
      <c r="H39" s="121">
        <v>35</v>
      </c>
      <c r="I39" s="121">
        <v>18</v>
      </c>
      <c r="J39" s="121">
        <v>6</v>
      </c>
      <c r="K39" s="121">
        <v>0</v>
      </c>
      <c r="L39" s="44">
        <v>0</v>
      </c>
      <c r="M39" s="119">
        <v>24</v>
      </c>
      <c r="N39" s="119">
        <v>6</v>
      </c>
      <c r="O39" s="119">
        <v>49</v>
      </c>
      <c r="P39" s="121">
        <v>35</v>
      </c>
      <c r="Q39" s="121">
        <v>8</v>
      </c>
      <c r="R39" s="44">
        <v>0</v>
      </c>
      <c r="S39" s="119">
        <v>92</v>
      </c>
      <c r="T39" s="119">
        <v>43</v>
      </c>
      <c r="U39" s="219">
        <v>0.11</v>
      </c>
      <c r="V39" s="219">
        <v>0.1</v>
      </c>
    </row>
    <row r="40" spans="1:22" x14ac:dyDescent="0.35">
      <c r="A40" s="121">
        <v>9</v>
      </c>
      <c r="B40" s="175" t="str">
        <f>VLOOKUP(A40,Control!$A$1:$B$18,2)</f>
        <v xml:space="preserve">Barnstaple, North Devon District Hospital </v>
      </c>
      <c r="C40" s="121"/>
      <c r="D40" s="121"/>
      <c r="E40" s="67"/>
      <c r="F40" s="45"/>
      <c r="G40" s="121" t="s">
        <v>193</v>
      </c>
      <c r="H40" s="121" t="s">
        <v>193</v>
      </c>
      <c r="I40" s="121" t="s">
        <v>193</v>
      </c>
      <c r="J40" s="121" t="s">
        <v>193</v>
      </c>
      <c r="K40" s="121" t="s">
        <v>193</v>
      </c>
      <c r="L40" s="227" t="s">
        <v>193</v>
      </c>
      <c r="M40" s="119" t="s">
        <v>193</v>
      </c>
      <c r="N40" s="119" t="s">
        <v>193</v>
      </c>
      <c r="O40" s="119" t="s">
        <v>193</v>
      </c>
      <c r="P40" s="121" t="s">
        <v>193</v>
      </c>
      <c r="Q40" s="121" t="s">
        <v>193</v>
      </c>
      <c r="R40" s="227" t="s">
        <v>193</v>
      </c>
      <c r="S40" s="119" t="s">
        <v>193</v>
      </c>
      <c r="T40" s="119" t="s">
        <v>193</v>
      </c>
      <c r="U40" s="219" t="s">
        <v>193</v>
      </c>
      <c r="V40" s="219" t="s">
        <v>193</v>
      </c>
    </row>
    <row r="41" spans="1:22" x14ac:dyDescent="0.35">
      <c r="A41" s="121">
        <v>10</v>
      </c>
      <c r="B41" s="175" t="str">
        <f>VLOOKUP(A41,Control!$A$1:$B$18,2)</f>
        <v xml:space="preserve">Bath, Royal United Hospital </v>
      </c>
      <c r="C41" s="121" t="s">
        <v>192</v>
      </c>
      <c r="D41" s="121">
        <v>2021</v>
      </c>
      <c r="E41" s="67" t="s">
        <v>83</v>
      </c>
      <c r="F41" s="45" t="s">
        <v>16</v>
      </c>
      <c r="G41" s="121">
        <v>10</v>
      </c>
      <c r="H41" s="121">
        <v>7</v>
      </c>
      <c r="I41" s="121">
        <v>11</v>
      </c>
      <c r="J41" s="121">
        <v>1</v>
      </c>
      <c r="K41" s="121">
        <v>0</v>
      </c>
      <c r="L41" s="44">
        <v>0</v>
      </c>
      <c r="M41" s="119">
        <v>12</v>
      </c>
      <c r="N41" s="119">
        <v>1</v>
      </c>
      <c r="O41" s="119">
        <v>34</v>
      </c>
      <c r="P41" s="121">
        <v>9</v>
      </c>
      <c r="Q41" s="121">
        <v>0</v>
      </c>
      <c r="R41" s="44">
        <v>0</v>
      </c>
      <c r="S41" s="119">
        <v>43</v>
      </c>
      <c r="T41" s="119">
        <v>9</v>
      </c>
      <c r="U41" s="219">
        <v>5.8000000000000003E-2</v>
      </c>
      <c r="V41" s="219">
        <v>0.06</v>
      </c>
    </row>
    <row r="42" spans="1:22" x14ac:dyDescent="0.35">
      <c r="A42" s="121">
        <v>11</v>
      </c>
      <c r="B42" s="175" t="str">
        <f>VLOOKUP(A42,Control!$A$1:$B$18,2)</f>
        <v>Bristol, Bristol Heart Institute / Bristol Royal Hospital for Children</v>
      </c>
      <c r="C42" s="121" t="s">
        <v>192</v>
      </c>
      <c r="D42" s="121">
        <v>2021</v>
      </c>
      <c r="E42" s="67" t="s">
        <v>81</v>
      </c>
      <c r="F42" s="45" t="s">
        <v>16</v>
      </c>
      <c r="G42" s="121">
        <v>78</v>
      </c>
      <c r="H42" s="121">
        <v>0</v>
      </c>
      <c r="I42" s="121">
        <v>301</v>
      </c>
      <c r="J42" s="121">
        <v>276</v>
      </c>
      <c r="K42" s="121">
        <v>269</v>
      </c>
      <c r="L42" s="44">
        <v>25</v>
      </c>
      <c r="M42" s="119">
        <v>871</v>
      </c>
      <c r="N42" s="119">
        <v>570</v>
      </c>
      <c r="O42" s="119">
        <v>0</v>
      </c>
      <c r="P42" s="121">
        <v>0</v>
      </c>
      <c r="Q42" s="121">
        <v>0</v>
      </c>
      <c r="R42" s="44">
        <v>0</v>
      </c>
      <c r="S42" s="119">
        <v>0</v>
      </c>
      <c r="T42" s="119">
        <v>0</v>
      </c>
      <c r="U42" s="219">
        <v>5.8999999999999997E-2</v>
      </c>
      <c r="V42" s="219">
        <v>0</v>
      </c>
    </row>
    <row r="43" spans="1:22" x14ac:dyDescent="0.35">
      <c r="A43" s="121">
        <v>12</v>
      </c>
      <c r="B43" s="175" t="str">
        <f>VLOOKUP(A43,Control!$A$1:$B$18,2)</f>
        <v xml:space="preserve">Exeter, Royal Devon and Exeter Hospital </v>
      </c>
      <c r="C43" s="121" t="s">
        <v>192</v>
      </c>
      <c r="D43" s="121">
        <v>2021</v>
      </c>
      <c r="E43" s="67" t="s">
        <v>84</v>
      </c>
      <c r="F43" s="45" t="s">
        <v>16</v>
      </c>
      <c r="G43" s="121">
        <v>6</v>
      </c>
      <c r="H43" s="121">
        <v>13</v>
      </c>
      <c r="I43" s="121">
        <v>49</v>
      </c>
      <c r="J43" s="121">
        <v>44</v>
      </c>
      <c r="K43" s="121">
        <v>63</v>
      </c>
      <c r="L43" s="227">
        <v>41</v>
      </c>
      <c r="M43" s="119">
        <v>197</v>
      </c>
      <c r="N43" s="119">
        <v>148</v>
      </c>
      <c r="O43" s="119">
        <v>20</v>
      </c>
      <c r="P43" s="121">
        <v>26</v>
      </c>
      <c r="Q43" s="121">
        <v>48</v>
      </c>
      <c r="R43" s="227">
        <v>19</v>
      </c>
      <c r="S43" s="119">
        <v>113</v>
      </c>
      <c r="T43" s="119">
        <v>93</v>
      </c>
      <c r="U43" s="219">
        <v>0.13</v>
      </c>
      <c r="V43" s="219">
        <v>7.0000000000000007E-2</v>
      </c>
    </row>
    <row r="44" spans="1:22" x14ac:dyDescent="0.35">
      <c r="A44" s="121">
        <v>13</v>
      </c>
      <c r="B44" s="175" t="str">
        <f>VLOOKUP(A44,Control!$A$1:$B$18,2)</f>
        <v>Gloucester, Gloucestershire Hospitals</v>
      </c>
      <c r="C44" s="121" t="s">
        <v>192</v>
      </c>
      <c r="D44" s="121">
        <v>2021</v>
      </c>
      <c r="E44" s="67" t="s">
        <v>74</v>
      </c>
      <c r="F44" s="45" t="s">
        <v>16</v>
      </c>
      <c r="G44" s="121">
        <v>12.8</v>
      </c>
      <c r="H44" s="121">
        <v>18.8</v>
      </c>
      <c r="I44" s="121">
        <v>80</v>
      </c>
      <c r="J44" s="121">
        <v>41</v>
      </c>
      <c r="K44" s="121">
        <v>114</v>
      </c>
      <c r="L44" s="227">
        <v>99</v>
      </c>
      <c r="M44" s="119">
        <v>334</v>
      </c>
      <c r="N44" s="119">
        <v>254</v>
      </c>
      <c r="O44" s="119">
        <v>36</v>
      </c>
      <c r="P44" s="121">
        <v>65</v>
      </c>
      <c r="Q44" s="121">
        <v>104</v>
      </c>
      <c r="R44" s="227">
        <v>26</v>
      </c>
      <c r="S44" s="119">
        <v>231</v>
      </c>
      <c r="T44" s="119">
        <v>195</v>
      </c>
      <c r="U44" s="219">
        <v>0.107</v>
      </c>
      <c r="V44" s="219">
        <v>6.8000000000000005E-2</v>
      </c>
    </row>
    <row r="45" spans="1:22" x14ac:dyDescent="0.35">
      <c r="A45" s="121">
        <v>14</v>
      </c>
      <c r="B45" s="175" t="str">
        <f>VLOOKUP(A45,Control!$A$1:$B$18,2)</f>
        <v xml:space="preserve">Plymouth, Derriford Hospital </v>
      </c>
      <c r="C45" s="121" t="s">
        <v>192</v>
      </c>
      <c r="D45" s="121">
        <v>2021</v>
      </c>
      <c r="E45" s="67" t="s">
        <v>86</v>
      </c>
      <c r="F45" s="45" t="s">
        <v>16</v>
      </c>
      <c r="G45" s="121">
        <v>11</v>
      </c>
      <c r="H45" s="121">
        <v>5</v>
      </c>
      <c r="I45" s="121">
        <v>13</v>
      </c>
      <c r="J45" s="121">
        <v>27</v>
      </c>
      <c r="K45" s="121">
        <v>1</v>
      </c>
      <c r="L45" s="44">
        <v>0</v>
      </c>
      <c r="M45" s="119">
        <v>41</v>
      </c>
      <c r="N45" s="119">
        <v>28</v>
      </c>
      <c r="O45" s="119">
        <v>3</v>
      </c>
      <c r="P45" s="121">
        <v>0</v>
      </c>
      <c r="Q45" s="121">
        <v>0</v>
      </c>
      <c r="R45" s="44">
        <v>0</v>
      </c>
      <c r="S45" s="119">
        <v>3</v>
      </c>
      <c r="T45" s="119">
        <v>0</v>
      </c>
      <c r="U45" s="219">
        <v>0</v>
      </c>
      <c r="V45" s="219">
        <v>0</v>
      </c>
    </row>
    <row r="46" spans="1:22" x14ac:dyDescent="0.35">
      <c r="A46" s="121">
        <v>15</v>
      </c>
      <c r="B46" s="175" t="str">
        <f>VLOOKUP(A46,Control!$A$1:$B$18,2)</f>
        <v xml:space="preserve">Swindon, Great Weston Hospital </v>
      </c>
      <c r="C46" s="193" t="s">
        <v>192</v>
      </c>
      <c r="D46" s="193">
        <v>2021</v>
      </c>
      <c r="E46" s="67" t="s">
        <v>60</v>
      </c>
      <c r="F46" s="45" t="s">
        <v>16</v>
      </c>
      <c r="G46" s="193">
        <v>7</v>
      </c>
      <c r="H46" s="193">
        <v>7</v>
      </c>
      <c r="I46" s="193">
        <v>0</v>
      </c>
      <c r="J46" s="193">
        <v>0</v>
      </c>
      <c r="K46" s="193">
        <v>0</v>
      </c>
      <c r="L46" s="44">
        <v>0</v>
      </c>
      <c r="M46" s="194">
        <v>0</v>
      </c>
      <c r="N46" s="194">
        <v>0</v>
      </c>
      <c r="O46" s="194">
        <v>7</v>
      </c>
      <c r="P46" s="193">
        <v>35</v>
      </c>
      <c r="Q46" s="193">
        <v>26</v>
      </c>
      <c r="R46" s="44">
        <v>0</v>
      </c>
      <c r="S46" s="194">
        <v>68</v>
      </c>
      <c r="T46" s="194">
        <v>61</v>
      </c>
      <c r="U46" s="219">
        <v>5.1999999999999998E-2</v>
      </c>
      <c r="V46" s="219">
        <v>0</v>
      </c>
    </row>
    <row r="47" spans="1:22" x14ac:dyDescent="0.35">
      <c r="A47" s="121">
        <v>16</v>
      </c>
      <c r="B47" s="175" t="str">
        <f>VLOOKUP(A47,Control!$A$1:$B$18,2)</f>
        <v xml:space="preserve">Taunton, Musgrove Park Hospital </v>
      </c>
      <c r="C47" s="121" t="s">
        <v>192</v>
      </c>
      <c r="D47" s="121">
        <v>2021</v>
      </c>
      <c r="E47" s="67" t="s">
        <v>75</v>
      </c>
      <c r="F47" s="45" t="s">
        <v>16</v>
      </c>
      <c r="G47" s="46">
        <v>36</v>
      </c>
      <c r="H47" s="46">
        <v>0</v>
      </c>
      <c r="I47" s="46">
        <v>43</v>
      </c>
      <c r="J47" s="46">
        <v>79</v>
      </c>
      <c r="K47" s="46">
        <v>72</v>
      </c>
      <c r="L47" s="47">
        <v>0</v>
      </c>
      <c r="M47" s="68">
        <v>194</v>
      </c>
      <c r="N47" s="68">
        <v>151</v>
      </c>
      <c r="O47" s="68">
        <v>27</v>
      </c>
      <c r="P47" s="46">
        <v>34</v>
      </c>
      <c r="Q47" s="46">
        <v>40</v>
      </c>
      <c r="R47" s="47">
        <v>0</v>
      </c>
      <c r="S47" s="68">
        <v>101</v>
      </c>
      <c r="T47" s="68">
        <v>74</v>
      </c>
      <c r="U47" s="219">
        <v>8.3000000000000004E-2</v>
      </c>
      <c r="V47" s="219">
        <v>0</v>
      </c>
    </row>
    <row r="48" spans="1:22" x14ac:dyDescent="0.35">
      <c r="A48" s="121">
        <v>17</v>
      </c>
      <c r="B48" s="175" t="str">
        <f>VLOOKUP(A48,Control!$A$1:$B$18,2)</f>
        <v xml:space="preserve">Torquay, Torbay General District Hospital </v>
      </c>
      <c r="C48" s="121" t="s">
        <v>192</v>
      </c>
      <c r="D48" s="121">
        <v>2021</v>
      </c>
      <c r="E48" s="67" t="s">
        <v>70</v>
      </c>
      <c r="F48" s="45" t="s">
        <v>16</v>
      </c>
      <c r="G48" s="46">
        <v>8</v>
      </c>
      <c r="H48" s="46">
        <v>4</v>
      </c>
      <c r="I48" s="46">
        <v>46</v>
      </c>
      <c r="J48" s="46">
        <v>1</v>
      </c>
      <c r="K48" s="46">
        <v>1</v>
      </c>
      <c r="L48" s="47">
        <v>0</v>
      </c>
      <c r="M48" s="68">
        <v>48</v>
      </c>
      <c r="N48" s="68">
        <v>2</v>
      </c>
      <c r="O48" s="68">
        <v>37</v>
      </c>
      <c r="P48" s="46">
        <v>27</v>
      </c>
      <c r="Q48" s="46">
        <v>36</v>
      </c>
      <c r="R48" s="47">
        <v>0</v>
      </c>
      <c r="S48" s="68">
        <v>100</v>
      </c>
      <c r="T48" s="68">
        <v>63</v>
      </c>
      <c r="U48" s="219">
        <v>2.9000000000000001E-2</v>
      </c>
      <c r="V48" s="219">
        <v>1.6E-2</v>
      </c>
    </row>
    <row r="49" spans="1:22" x14ac:dyDescent="0.35">
      <c r="A49" s="121">
        <v>18</v>
      </c>
      <c r="B49" s="178" t="str">
        <f>VLOOKUP(A49,Control!$A$1:$B$18,2)</f>
        <v xml:space="preserve">Truro, Royal Cornwall Hospital </v>
      </c>
      <c r="C49" s="121" t="s">
        <v>192</v>
      </c>
      <c r="D49" s="121">
        <v>2021</v>
      </c>
      <c r="E49" s="67" t="s">
        <v>87</v>
      </c>
      <c r="F49" s="45" t="s">
        <v>16</v>
      </c>
      <c r="G49" s="46">
        <v>13</v>
      </c>
      <c r="H49" s="46">
        <v>9</v>
      </c>
      <c r="I49" s="46">
        <v>1</v>
      </c>
      <c r="J49" s="46">
        <v>0</v>
      </c>
      <c r="K49" s="46">
        <v>0</v>
      </c>
      <c r="L49" s="228">
        <v>0</v>
      </c>
      <c r="M49" s="68">
        <v>1</v>
      </c>
      <c r="N49" s="68">
        <v>0</v>
      </c>
      <c r="O49" s="68">
        <v>73</v>
      </c>
      <c r="P49" s="46">
        <v>0</v>
      </c>
      <c r="Q49" s="46">
        <v>0</v>
      </c>
      <c r="R49" s="228">
        <v>0</v>
      </c>
      <c r="S49" s="68">
        <v>73</v>
      </c>
      <c r="T49" s="68">
        <v>0</v>
      </c>
      <c r="U49" s="219">
        <v>6.3399999999999998E-2</v>
      </c>
      <c r="V49" s="219">
        <v>5.74E-2</v>
      </c>
    </row>
    <row r="50" spans="1:22" x14ac:dyDescent="0.35">
      <c r="A50" s="121"/>
      <c r="B50" s="121"/>
      <c r="C50" s="58"/>
      <c r="D50" s="58"/>
      <c r="E50" s="6" t="str">
        <f t="shared" ref="E50:V50" ca="1" si="1">OFFSET(E32,PaedChoice-1,0)</f>
        <v>Gloucester, Gloucestershire Hospitals</v>
      </c>
      <c r="F50" s="6" t="str">
        <f t="shared" ca="1" si="1"/>
        <v xml:space="preserve">Paediatrics </v>
      </c>
      <c r="G50" s="5">
        <f t="shared" ca="1" si="1"/>
        <v>12.8</v>
      </c>
      <c r="H50" s="5">
        <f t="shared" ca="1" si="1"/>
        <v>18.8</v>
      </c>
      <c r="I50" s="5">
        <f t="shared" ca="1" si="1"/>
        <v>80</v>
      </c>
      <c r="J50" s="5">
        <f t="shared" ca="1" si="1"/>
        <v>41</v>
      </c>
      <c r="K50" s="5">
        <f t="shared" ca="1" si="1"/>
        <v>114</v>
      </c>
      <c r="L50" s="5">
        <f t="shared" ca="1" si="1"/>
        <v>99</v>
      </c>
      <c r="M50" s="5">
        <f t="shared" ca="1" si="1"/>
        <v>334</v>
      </c>
      <c r="N50" s="5">
        <f t="shared" ca="1" si="1"/>
        <v>254</v>
      </c>
      <c r="O50" s="5">
        <f t="shared" ca="1" si="1"/>
        <v>36</v>
      </c>
      <c r="P50" s="5">
        <f t="shared" ca="1" si="1"/>
        <v>65</v>
      </c>
      <c r="Q50" s="5">
        <f t="shared" ca="1" si="1"/>
        <v>104</v>
      </c>
      <c r="R50" s="5">
        <f t="shared" ca="1" si="1"/>
        <v>26</v>
      </c>
      <c r="S50" s="5">
        <f t="shared" ca="1" si="1"/>
        <v>231</v>
      </c>
      <c r="T50" s="5">
        <f t="shared" ca="1" si="1"/>
        <v>195</v>
      </c>
      <c r="U50" s="271">
        <f t="shared" ca="1" si="1"/>
        <v>0.107</v>
      </c>
      <c r="V50" s="271">
        <f t="shared" ca="1" si="1"/>
        <v>6.8000000000000005E-2</v>
      </c>
    </row>
    <row r="51" spans="1:22" ht="21" x14ac:dyDescent="0.3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</row>
    <row r="52" spans="1:22" ht="21" x14ac:dyDescent="0.35">
      <c r="A52" s="313" t="s">
        <v>7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</row>
    <row r="53" spans="1:22" ht="21" x14ac:dyDescent="0.35">
      <c r="A53" s="69" t="s">
        <v>89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</row>
    <row r="54" spans="1:22" x14ac:dyDescent="0.35">
      <c r="B54" s="1">
        <v>2</v>
      </c>
      <c r="C54" s="1">
        <v>3</v>
      </c>
      <c r="D54" s="1">
        <v>4</v>
      </c>
      <c r="E54" s="1">
        <v>5</v>
      </c>
      <c r="F54" s="1">
        <v>6</v>
      </c>
      <c r="G54" s="1">
        <v>7</v>
      </c>
      <c r="H54" s="1">
        <v>8</v>
      </c>
      <c r="I54" s="1">
        <v>9</v>
      </c>
      <c r="J54" s="1">
        <v>10</v>
      </c>
      <c r="K54" s="1">
        <v>11</v>
      </c>
      <c r="L54" s="1">
        <v>12</v>
      </c>
      <c r="M54" s="1">
        <v>13</v>
      </c>
      <c r="N54" s="1">
        <v>14</v>
      </c>
      <c r="O54" s="1">
        <v>15</v>
      </c>
      <c r="P54" s="1">
        <v>16</v>
      </c>
      <c r="Q54" s="1">
        <v>17</v>
      </c>
      <c r="R54" s="1">
        <v>18</v>
      </c>
      <c r="S54" s="1">
        <v>19</v>
      </c>
      <c r="T54" s="1">
        <v>20</v>
      </c>
      <c r="U54" s="1">
        <v>21</v>
      </c>
      <c r="V54" s="1">
        <v>22</v>
      </c>
    </row>
    <row r="55" spans="1:22" x14ac:dyDescent="0.35">
      <c r="A55" s="121"/>
      <c r="B55" s="121"/>
      <c r="C55" s="494" t="s">
        <v>139</v>
      </c>
      <c r="D55" s="494" t="s">
        <v>140</v>
      </c>
      <c r="E55" s="495" t="s">
        <v>0</v>
      </c>
      <c r="F55" s="494" t="s">
        <v>141</v>
      </c>
      <c r="G55" s="494" t="s">
        <v>47</v>
      </c>
      <c r="H55" s="494"/>
      <c r="I55" s="494" t="s">
        <v>48</v>
      </c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4"/>
      <c r="U55" s="494" t="s">
        <v>46</v>
      </c>
      <c r="V55" s="494"/>
    </row>
    <row r="56" spans="1:22" x14ac:dyDescent="0.35">
      <c r="A56" s="121"/>
      <c r="B56" s="121"/>
      <c r="C56" s="494"/>
      <c r="D56" s="494"/>
      <c r="E56" s="495"/>
      <c r="F56" s="494"/>
      <c r="G56" s="494" t="s">
        <v>2</v>
      </c>
      <c r="H56" s="494" t="s">
        <v>3</v>
      </c>
      <c r="I56" s="494" t="s">
        <v>2</v>
      </c>
      <c r="J56" s="494"/>
      <c r="K56" s="494"/>
      <c r="L56" s="494"/>
      <c r="M56" s="494"/>
      <c r="N56" s="494"/>
      <c r="O56" s="494" t="s">
        <v>45</v>
      </c>
      <c r="P56" s="494"/>
      <c r="Q56" s="494"/>
      <c r="R56" s="494"/>
      <c r="S56" s="494"/>
      <c r="T56" s="494"/>
      <c r="U56" s="494" t="s">
        <v>2</v>
      </c>
      <c r="V56" s="494" t="s">
        <v>45</v>
      </c>
    </row>
    <row r="57" spans="1:22" ht="29" x14ac:dyDescent="0.35">
      <c r="A57" s="121"/>
      <c r="B57" s="121"/>
      <c r="C57" s="494"/>
      <c r="D57" s="494"/>
      <c r="E57" s="495"/>
      <c r="F57" s="494"/>
      <c r="G57" s="494"/>
      <c r="H57" s="494"/>
      <c r="I57" s="121" t="s">
        <v>142</v>
      </c>
      <c r="J57" s="121" t="s">
        <v>41</v>
      </c>
      <c r="K57" s="121" t="s">
        <v>42</v>
      </c>
      <c r="L57" s="44" t="s">
        <v>43</v>
      </c>
      <c r="M57" s="121" t="s">
        <v>143</v>
      </c>
      <c r="N57" s="121" t="s">
        <v>144</v>
      </c>
      <c r="O57" s="121" t="s">
        <v>142</v>
      </c>
      <c r="P57" s="121" t="s">
        <v>41</v>
      </c>
      <c r="Q57" s="121" t="s">
        <v>42</v>
      </c>
      <c r="R57" s="44" t="s">
        <v>43</v>
      </c>
      <c r="S57" s="121" t="s">
        <v>143</v>
      </c>
      <c r="T57" s="121" t="s">
        <v>145</v>
      </c>
      <c r="U57" s="494"/>
      <c r="V57" s="494"/>
    </row>
    <row r="58" spans="1:22" x14ac:dyDescent="0.35">
      <c r="A58" s="121">
        <v>1</v>
      </c>
      <c r="B58" s="175" t="str">
        <f>VLOOKUP(A58,Control!$A$1:$B$18,2)</f>
        <v>Aneurin Bevan UHB, Nevill Hall &amp; Royal Gwent Hospitals</v>
      </c>
      <c r="C58" s="315" t="s">
        <v>224</v>
      </c>
      <c r="D58" s="315">
        <v>2021</v>
      </c>
      <c r="E58" s="67" t="s">
        <v>195</v>
      </c>
      <c r="F58" s="45" t="s">
        <v>15</v>
      </c>
      <c r="G58" s="315">
        <v>0</v>
      </c>
      <c r="H58" s="315">
        <v>0</v>
      </c>
      <c r="I58" s="315">
        <v>52</v>
      </c>
      <c r="J58" s="315">
        <v>35</v>
      </c>
      <c r="K58" s="315">
        <v>55</v>
      </c>
      <c r="L58" s="227">
        <v>67</v>
      </c>
      <c r="M58" s="262">
        <v>209</v>
      </c>
      <c r="N58" s="262">
        <v>157</v>
      </c>
      <c r="O58" s="262">
        <v>0</v>
      </c>
      <c r="P58" s="315">
        <v>0</v>
      </c>
      <c r="Q58" s="315">
        <v>0</v>
      </c>
      <c r="R58" s="227">
        <v>0</v>
      </c>
      <c r="S58" s="262">
        <v>0</v>
      </c>
      <c r="T58" s="262">
        <v>0</v>
      </c>
      <c r="U58" s="219">
        <v>0.08</v>
      </c>
      <c r="V58" s="219">
        <v>0</v>
      </c>
    </row>
    <row r="59" spans="1:22" x14ac:dyDescent="0.35">
      <c r="A59" s="121">
        <v>2</v>
      </c>
      <c r="B59" s="175" t="str">
        <f>VLOOKUP(A59,Control!$A$1:$B$18,2)</f>
        <v>Cardiff &amp; Vale UHB, Noah’s Ark / University Hospital Wales</v>
      </c>
      <c r="C59" s="315" t="s">
        <v>224</v>
      </c>
      <c r="D59" s="315">
        <v>2021</v>
      </c>
      <c r="E59" s="67" t="s">
        <v>196</v>
      </c>
      <c r="F59" s="45" t="s">
        <v>15</v>
      </c>
      <c r="G59" s="315">
        <v>18</v>
      </c>
      <c r="H59" s="315">
        <v>0</v>
      </c>
      <c r="I59" s="315">
        <v>39</v>
      </c>
      <c r="J59" s="315">
        <v>19</v>
      </c>
      <c r="K59" s="315">
        <v>62</v>
      </c>
      <c r="L59" s="227">
        <v>20</v>
      </c>
      <c r="M59" s="262">
        <v>140</v>
      </c>
      <c r="N59" s="262">
        <v>101</v>
      </c>
      <c r="O59" s="262">
        <v>0</v>
      </c>
      <c r="P59" s="315">
        <v>0</v>
      </c>
      <c r="Q59" s="315">
        <v>0</v>
      </c>
      <c r="R59" s="227">
        <v>0</v>
      </c>
      <c r="S59" s="262">
        <v>0</v>
      </c>
      <c r="T59" s="262">
        <v>0</v>
      </c>
      <c r="U59" s="219">
        <v>0.09</v>
      </c>
      <c r="V59" s="219">
        <v>0</v>
      </c>
    </row>
    <row r="60" spans="1:22" x14ac:dyDescent="0.35">
      <c r="A60" s="121">
        <v>3</v>
      </c>
      <c r="B60" s="175" t="str">
        <f>VLOOKUP(A60,Control!$A$1:$B$18,2)</f>
        <v>Cwm Taf Morgannwg UHB, Princess of Wales Hospital</v>
      </c>
      <c r="C60" s="309" t="s">
        <v>224</v>
      </c>
      <c r="D60" s="309">
        <v>2021</v>
      </c>
      <c r="E60" s="67" t="s">
        <v>197</v>
      </c>
      <c r="F60" s="45" t="s">
        <v>15</v>
      </c>
      <c r="G60" s="309">
        <v>0</v>
      </c>
      <c r="H60" s="309">
        <v>60</v>
      </c>
      <c r="I60" s="309">
        <v>0</v>
      </c>
      <c r="J60" s="309">
        <v>0</v>
      </c>
      <c r="K60" s="309">
        <v>0</v>
      </c>
      <c r="L60" s="227">
        <v>0</v>
      </c>
      <c r="M60" s="262">
        <v>0</v>
      </c>
      <c r="N60" s="262">
        <v>0</v>
      </c>
      <c r="O60" s="262">
        <v>35</v>
      </c>
      <c r="P60" s="309">
        <v>70</v>
      </c>
      <c r="Q60" s="309">
        <v>82</v>
      </c>
      <c r="R60" s="227">
        <v>62</v>
      </c>
      <c r="S60" s="262">
        <v>249</v>
      </c>
      <c r="T60" s="262">
        <v>214</v>
      </c>
      <c r="U60" s="219">
        <v>0</v>
      </c>
      <c r="V60" s="219">
        <v>0</v>
      </c>
    </row>
    <row r="61" spans="1:22" x14ac:dyDescent="0.35">
      <c r="A61" s="121">
        <v>4</v>
      </c>
      <c r="B61" s="175" t="str">
        <f>VLOOKUP(A61,Control!$A$1:$B$18,2)</f>
        <v xml:space="preserve">Cwm Taf Morgannwg UHB, Royal Glamorgan Hospital </v>
      </c>
      <c r="C61" s="121"/>
      <c r="D61" s="121"/>
      <c r="E61" s="67"/>
      <c r="F61" s="45"/>
      <c r="G61" s="255" t="s">
        <v>193</v>
      </c>
      <c r="H61" s="255" t="s">
        <v>193</v>
      </c>
      <c r="I61" s="255" t="s">
        <v>193</v>
      </c>
      <c r="J61" s="255" t="s">
        <v>193</v>
      </c>
      <c r="K61" s="255" t="s">
        <v>193</v>
      </c>
      <c r="L61" s="227" t="s">
        <v>193</v>
      </c>
      <c r="M61" s="256" t="s">
        <v>193</v>
      </c>
      <c r="N61" s="256" t="s">
        <v>193</v>
      </c>
      <c r="O61" s="256" t="s">
        <v>193</v>
      </c>
      <c r="P61" s="255" t="s">
        <v>193</v>
      </c>
      <c r="Q61" s="255" t="s">
        <v>193</v>
      </c>
      <c r="R61" s="227" t="s">
        <v>193</v>
      </c>
      <c r="S61" s="256" t="s">
        <v>193</v>
      </c>
      <c r="T61" s="256" t="s">
        <v>193</v>
      </c>
      <c r="U61" s="219" t="s">
        <v>193</v>
      </c>
      <c r="V61" s="219" t="s">
        <v>193</v>
      </c>
    </row>
    <row r="62" spans="1:22" x14ac:dyDescent="0.35">
      <c r="A62" s="121">
        <v>5</v>
      </c>
      <c r="B62" s="175" t="str">
        <f>VLOOKUP(A62,Control!$A$1:$B$18,2)</f>
        <v>Cwm Taf Morgannwg UHB, Prince Charles Hospital</v>
      </c>
      <c r="C62" s="309" t="s">
        <v>224</v>
      </c>
      <c r="D62" s="309">
        <v>2021</v>
      </c>
      <c r="E62" s="67" t="s">
        <v>199</v>
      </c>
      <c r="F62" s="45" t="s">
        <v>15</v>
      </c>
      <c r="G62" s="309">
        <v>0</v>
      </c>
      <c r="H62" s="309">
        <v>0</v>
      </c>
      <c r="I62" s="309">
        <v>0</v>
      </c>
      <c r="J62" s="309">
        <v>0</v>
      </c>
      <c r="K62" s="309">
        <v>0</v>
      </c>
      <c r="L62" s="227">
        <v>0</v>
      </c>
      <c r="M62" s="262">
        <v>0</v>
      </c>
      <c r="N62" s="262">
        <v>0</v>
      </c>
      <c r="O62" s="262">
        <v>0</v>
      </c>
      <c r="P62" s="309">
        <v>0</v>
      </c>
      <c r="Q62" s="309">
        <v>0</v>
      </c>
      <c r="R62" s="227">
        <v>0</v>
      </c>
      <c r="S62" s="262">
        <v>0</v>
      </c>
      <c r="T62" s="262">
        <v>0</v>
      </c>
      <c r="U62" s="219">
        <v>0</v>
      </c>
      <c r="V62" s="219">
        <v>0</v>
      </c>
    </row>
    <row r="63" spans="1:22" x14ac:dyDescent="0.35">
      <c r="A63" s="121">
        <v>6</v>
      </c>
      <c r="B63" s="175" t="str">
        <f>VLOOKUP(A63,Control!$A$1:$B$18,2)</f>
        <v>Hywel Dda UHB, Glangwilli Hospital</v>
      </c>
      <c r="C63" s="309" t="s">
        <v>224</v>
      </c>
      <c r="D63" s="309">
        <v>2021</v>
      </c>
      <c r="E63" s="67" t="s">
        <v>202</v>
      </c>
      <c r="F63" s="45" t="s">
        <v>15</v>
      </c>
      <c r="G63" s="309">
        <v>0</v>
      </c>
      <c r="H63" s="309">
        <v>26</v>
      </c>
      <c r="I63" s="309">
        <v>0</v>
      </c>
      <c r="J63" s="309">
        <v>0</v>
      </c>
      <c r="K63" s="309">
        <v>0</v>
      </c>
      <c r="L63" s="227">
        <v>0</v>
      </c>
      <c r="M63" s="262">
        <v>0</v>
      </c>
      <c r="N63" s="262">
        <v>0</v>
      </c>
      <c r="O63" s="262">
        <v>31</v>
      </c>
      <c r="P63" s="309">
        <v>49</v>
      </c>
      <c r="Q63" s="309">
        <v>59</v>
      </c>
      <c r="R63" s="227">
        <v>11</v>
      </c>
      <c r="S63" s="262">
        <v>150</v>
      </c>
      <c r="T63" s="262">
        <v>119</v>
      </c>
      <c r="U63" s="219">
        <v>0</v>
      </c>
      <c r="V63" s="219">
        <v>0.1</v>
      </c>
    </row>
    <row r="64" spans="1:22" x14ac:dyDescent="0.35">
      <c r="A64" s="121">
        <v>7</v>
      </c>
      <c r="B64" s="175" t="str">
        <f>VLOOKUP(A64,Control!$A$1:$B$18,2)</f>
        <v>Hywel Dda UHB, Withybush Hospital</v>
      </c>
      <c r="C64" s="121"/>
      <c r="D64" s="121"/>
      <c r="E64" s="67"/>
      <c r="F64" s="45"/>
      <c r="G64" s="255" t="s">
        <v>193</v>
      </c>
      <c r="H64" s="255" t="s">
        <v>193</v>
      </c>
      <c r="I64" s="255" t="s">
        <v>193</v>
      </c>
      <c r="J64" s="255" t="s">
        <v>193</v>
      </c>
      <c r="K64" s="255" t="s">
        <v>193</v>
      </c>
      <c r="L64" s="227" t="s">
        <v>193</v>
      </c>
      <c r="M64" s="256" t="s">
        <v>193</v>
      </c>
      <c r="N64" s="256" t="s">
        <v>193</v>
      </c>
      <c r="O64" s="256" t="s">
        <v>193</v>
      </c>
      <c r="P64" s="255" t="s">
        <v>193</v>
      </c>
      <c r="Q64" s="255" t="s">
        <v>193</v>
      </c>
      <c r="R64" s="227" t="s">
        <v>193</v>
      </c>
      <c r="S64" s="256" t="s">
        <v>193</v>
      </c>
      <c r="T64" s="256" t="s">
        <v>193</v>
      </c>
      <c r="U64" s="219" t="s">
        <v>193</v>
      </c>
      <c r="V64" s="219" t="s">
        <v>193</v>
      </c>
    </row>
    <row r="65" spans="1:22" x14ac:dyDescent="0.35">
      <c r="A65" s="121">
        <v>8</v>
      </c>
      <c r="B65" s="175" t="str">
        <f>VLOOKUP(A65,Control!$A$1:$B$18,2)</f>
        <v>Swansea Bay UHB, Morriston / Singleton Hospitals</v>
      </c>
      <c r="C65" s="309" t="s">
        <v>224</v>
      </c>
      <c r="D65" s="309">
        <v>2021</v>
      </c>
      <c r="E65" s="67" t="s">
        <v>200</v>
      </c>
      <c r="F65" s="45" t="s">
        <v>15</v>
      </c>
      <c r="G65" s="309">
        <v>110</v>
      </c>
      <c r="H65" s="309">
        <v>0</v>
      </c>
      <c r="I65" s="312">
        <f>43-34</f>
        <v>9</v>
      </c>
      <c r="J65" s="309">
        <v>0</v>
      </c>
      <c r="K65" s="309">
        <v>0</v>
      </c>
      <c r="L65" s="227">
        <v>124</v>
      </c>
      <c r="M65" s="312">
        <f>167-34</f>
        <v>133</v>
      </c>
      <c r="N65" s="262">
        <v>124</v>
      </c>
      <c r="O65" s="262">
        <v>0</v>
      </c>
      <c r="P65" s="309">
        <v>0</v>
      </c>
      <c r="Q65" s="309">
        <v>0</v>
      </c>
      <c r="R65" s="227">
        <v>0</v>
      </c>
      <c r="S65" s="262">
        <v>0</v>
      </c>
      <c r="T65" s="262">
        <v>0</v>
      </c>
      <c r="U65" s="219">
        <v>0</v>
      </c>
      <c r="V65" s="219">
        <v>0</v>
      </c>
    </row>
    <row r="66" spans="1:22" x14ac:dyDescent="0.35">
      <c r="A66" s="121">
        <v>9</v>
      </c>
      <c r="B66" s="175" t="str">
        <f>VLOOKUP(A66,Control!$A$1:$B$18,2)</f>
        <v xml:space="preserve">Barnstaple, North Devon District Hospital </v>
      </c>
      <c r="C66" s="309" t="s">
        <v>224</v>
      </c>
      <c r="D66" s="121">
        <v>2021</v>
      </c>
      <c r="E66" s="67" t="s">
        <v>82</v>
      </c>
      <c r="F66" s="45" t="s">
        <v>15</v>
      </c>
      <c r="G66" s="255">
        <v>0</v>
      </c>
      <c r="H66" s="255">
        <v>0</v>
      </c>
      <c r="I66" s="255">
        <v>9</v>
      </c>
      <c r="J66" s="255">
        <v>30</v>
      </c>
      <c r="K66" s="255">
        <v>22</v>
      </c>
      <c r="L66" s="227">
        <v>3</v>
      </c>
      <c r="M66" s="256">
        <v>64</v>
      </c>
      <c r="N66" s="256">
        <v>55</v>
      </c>
      <c r="O66" s="256">
        <v>9</v>
      </c>
      <c r="P66" s="255">
        <v>30</v>
      </c>
      <c r="Q66" s="255">
        <v>22</v>
      </c>
      <c r="R66" s="227">
        <v>3</v>
      </c>
      <c r="S66" s="256">
        <v>64</v>
      </c>
      <c r="T66" s="256">
        <v>55</v>
      </c>
      <c r="U66" s="219">
        <v>0.02</v>
      </c>
      <c r="V66" s="219">
        <v>0.02</v>
      </c>
    </row>
    <row r="67" spans="1:22" x14ac:dyDescent="0.35">
      <c r="A67" s="121">
        <v>10</v>
      </c>
      <c r="B67" s="175" t="str">
        <f>VLOOKUP(A67,Control!$A$1:$B$18,2)</f>
        <v xml:space="preserve">Bath, Royal United Hospital </v>
      </c>
      <c r="C67" s="309"/>
      <c r="D67" s="121"/>
      <c r="E67" s="67"/>
      <c r="F67" s="45"/>
      <c r="G67" s="255" t="s">
        <v>193</v>
      </c>
      <c r="H67" s="255" t="s">
        <v>193</v>
      </c>
      <c r="I67" s="255" t="s">
        <v>193</v>
      </c>
      <c r="J67" s="255" t="s">
        <v>193</v>
      </c>
      <c r="K67" s="255" t="s">
        <v>193</v>
      </c>
      <c r="L67" s="227" t="s">
        <v>193</v>
      </c>
      <c r="M67" s="256" t="s">
        <v>193</v>
      </c>
      <c r="N67" s="256" t="s">
        <v>193</v>
      </c>
      <c r="O67" s="256" t="s">
        <v>193</v>
      </c>
      <c r="P67" s="255" t="s">
        <v>193</v>
      </c>
      <c r="Q67" s="255" t="s">
        <v>193</v>
      </c>
      <c r="R67" s="227" t="s">
        <v>193</v>
      </c>
      <c r="S67" s="256" t="s">
        <v>193</v>
      </c>
      <c r="T67" s="256" t="s">
        <v>193</v>
      </c>
      <c r="U67" s="219" t="s">
        <v>193</v>
      </c>
      <c r="V67" s="219" t="s">
        <v>193</v>
      </c>
    </row>
    <row r="68" spans="1:22" x14ac:dyDescent="0.35">
      <c r="A68" s="121">
        <v>11</v>
      </c>
      <c r="B68" s="175" t="str">
        <f>VLOOKUP(A68,Control!$A$1:$B$18,2)</f>
        <v>Bristol, Bristol Heart Institute / Bristol Royal Hospital for Children</v>
      </c>
      <c r="C68" s="309" t="s">
        <v>224</v>
      </c>
      <c r="D68" s="121">
        <v>2021</v>
      </c>
      <c r="E68" s="67" t="s">
        <v>57</v>
      </c>
      <c r="F68" s="45" t="s">
        <v>15</v>
      </c>
      <c r="G68" s="255">
        <v>24</v>
      </c>
      <c r="H68" s="255" t="e">
        <f>NA()</f>
        <v>#N/A</v>
      </c>
      <c r="I68" s="255">
        <v>403</v>
      </c>
      <c r="J68" s="255">
        <v>246</v>
      </c>
      <c r="K68" s="255">
        <v>298</v>
      </c>
      <c r="L68" s="227">
        <v>3</v>
      </c>
      <c r="M68" s="256">
        <v>950</v>
      </c>
      <c r="N68" s="256">
        <v>547</v>
      </c>
      <c r="O68" s="256" t="e">
        <f>NA()</f>
        <v>#N/A</v>
      </c>
      <c r="P68" s="255" t="e">
        <f>NA()</f>
        <v>#N/A</v>
      </c>
      <c r="Q68" s="255" t="e">
        <f>NA()</f>
        <v>#N/A</v>
      </c>
      <c r="R68" s="227" t="e">
        <f>NA()</f>
        <v>#N/A</v>
      </c>
      <c r="S68" s="256">
        <v>0</v>
      </c>
      <c r="T68" s="256">
        <v>0</v>
      </c>
      <c r="U68" s="219">
        <v>0.193</v>
      </c>
      <c r="V68" s="219" t="e">
        <f>NA()</f>
        <v>#N/A</v>
      </c>
    </row>
    <row r="69" spans="1:22" x14ac:dyDescent="0.35">
      <c r="A69" s="121">
        <v>12</v>
      </c>
      <c r="B69" s="175" t="str">
        <f>VLOOKUP(A69,Control!$A$1:$B$18,2)</f>
        <v xml:space="preserve">Exeter, Royal Devon and Exeter Hospital </v>
      </c>
      <c r="C69" s="309"/>
      <c r="D69" s="121"/>
      <c r="E69" s="67"/>
      <c r="F69" s="45"/>
      <c r="G69" s="255" t="s">
        <v>193</v>
      </c>
      <c r="H69" s="255" t="s">
        <v>193</v>
      </c>
      <c r="I69" s="255" t="s">
        <v>193</v>
      </c>
      <c r="J69" s="255" t="s">
        <v>193</v>
      </c>
      <c r="K69" s="255" t="s">
        <v>193</v>
      </c>
      <c r="L69" s="227" t="s">
        <v>193</v>
      </c>
      <c r="M69" s="256" t="s">
        <v>193</v>
      </c>
      <c r="N69" s="256" t="s">
        <v>193</v>
      </c>
      <c r="O69" s="256" t="s">
        <v>193</v>
      </c>
      <c r="P69" s="255" t="s">
        <v>193</v>
      </c>
      <c r="Q69" s="255" t="s">
        <v>193</v>
      </c>
      <c r="R69" s="227" t="s">
        <v>193</v>
      </c>
      <c r="S69" s="256" t="s">
        <v>193</v>
      </c>
      <c r="T69" s="256" t="s">
        <v>193</v>
      </c>
      <c r="U69" s="219" t="s">
        <v>193</v>
      </c>
      <c r="V69" s="219" t="s">
        <v>193</v>
      </c>
    </row>
    <row r="70" spans="1:22" x14ac:dyDescent="0.35">
      <c r="A70" s="121">
        <v>13</v>
      </c>
      <c r="B70" s="175" t="str">
        <f>VLOOKUP(A70,Control!$A$1:$B$18,2)</f>
        <v>Gloucester, Gloucestershire Hospitals</v>
      </c>
      <c r="C70" s="309" t="s">
        <v>224</v>
      </c>
      <c r="D70" s="309">
        <v>2021</v>
      </c>
      <c r="E70" s="67" t="s">
        <v>74</v>
      </c>
      <c r="F70" s="45" t="s">
        <v>15</v>
      </c>
      <c r="G70" s="309">
        <v>7</v>
      </c>
      <c r="H70" s="309">
        <v>7</v>
      </c>
      <c r="I70" s="309">
        <v>0</v>
      </c>
      <c r="J70" s="309">
        <v>1</v>
      </c>
      <c r="K70" s="309">
        <v>62</v>
      </c>
      <c r="L70" s="227">
        <v>0</v>
      </c>
      <c r="M70" s="262">
        <v>63</v>
      </c>
      <c r="N70" s="262">
        <v>63</v>
      </c>
      <c r="O70" s="262">
        <v>0</v>
      </c>
      <c r="P70" s="309">
        <v>1</v>
      </c>
      <c r="Q70" s="309">
        <v>62</v>
      </c>
      <c r="R70" s="227">
        <v>0</v>
      </c>
      <c r="S70" s="262">
        <v>63</v>
      </c>
      <c r="T70" s="262">
        <v>63</v>
      </c>
      <c r="U70" s="219">
        <v>0.16</v>
      </c>
      <c r="V70" s="219">
        <v>0.16</v>
      </c>
    </row>
    <row r="71" spans="1:22" x14ac:dyDescent="0.35">
      <c r="A71" s="121">
        <v>14</v>
      </c>
      <c r="B71" s="175" t="str">
        <f>VLOOKUP(A71,Control!$A$1:$B$18,2)</f>
        <v xml:space="preserve">Plymouth, Derriford Hospital </v>
      </c>
      <c r="C71" s="309" t="s">
        <v>224</v>
      </c>
      <c r="D71" s="309">
        <v>2021</v>
      </c>
      <c r="E71" s="67" t="s">
        <v>86</v>
      </c>
      <c r="F71" s="45" t="s">
        <v>15</v>
      </c>
      <c r="G71" s="309">
        <v>24</v>
      </c>
      <c r="H71" s="309">
        <v>0</v>
      </c>
      <c r="I71" s="309">
        <v>130</v>
      </c>
      <c r="J71" s="309">
        <v>191</v>
      </c>
      <c r="K71" s="309">
        <v>76</v>
      </c>
      <c r="L71" s="227">
        <v>282</v>
      </c>
      <c r="M71" s="262">
        <v>549</v>
      </c>
      <c r="N71" s="262">
        <v>1186</v>
      </c>
      <c r="O71" s="262">
        <v>0</v>
      </c>
      <c r="P71" s="309">
        <v>0</v>
      </c>
      <c r="Q71" s="309">
        <v>0</v>
      </c>
      <c r="R71" s="227">
        <v>0</v>
      </c>
      <c r="S71" s="262">
        <v>0</v>
      </c>
      <c r="T71" s="262">
        <v>0</v>
      </c>
      <c r="U71" s="219">
        <v>0.03</v>
      </c>
      <c r="V71" s="219">
        <v>0</v>
      </c>
    </row>
    <row r="72" spans="1:22" x14ac:dyDescent="0.35">
      <c r="A72" s="121">
        <v>15</v>
      </c>
      <c r="B72" s="175" t="str">
        <f>VLOOKUP(A72,Control!$A$1:$B$18,2)</f>
        <v xml:space="preserve">Swindon, Great Weston Hospital </v>
      </c>
      <c r="C72" s="309"/>
      <c r="D72" s="121"/>
      <c r="E72" s="67"/>
      <c r="F72" s="45"/>
      <c r="G72" s="255" t="s">
        <v>193</v>
      </c>
      <c r="H72" s="255" t="s">
        <v>193</v>
      </c>
      <c r="I72" s="255" t="s">
        <v>193</v>
      </c>
      <c r="J72" s="255" t="s">
        <v>193</v>
      </c>
      <c r="K72" s="255" t="s">
        <v>193</v>
      </c>
      <c r="L72" s="227" t="s">
        <v>193</v>
      </c>
      <c r="M72" s="256" t="s">
        <v>193</v>
      </c>
      <c r="N72" s="256" t="s">
        <v>193</v>
      </c>
      <c r="O72" s="256" t="s">
        <v>193</v>
      </c>
      <c r="P72" s="255" t="s">
        <v>193</v>
      </c>
      <c r="Q72" s="255" t="s">
        <v>193</v>
      </c>
      <c r="R72" s="227" t="s">
        <v>193</v>
      </c>
      <c r="S72" s="256" t="s">
        <v>193</v>
      </c>
      <c r="T72" s="256" t="s">
        <v>193</v>
      </c>
      <c r="U72" s="219" t="s">
        <v>193</v>
      </c>
      <c r="V72" s="219" t="s">
        <v>193</v>
      </c>
    </row>
    <row r="73" spans="1:22" x14ac:dyDescent="0.35">
      <c r="A73" s="121">
        <v>16</v>
      </c>
      <c r="B73" s="175" t="str">
        <f>VLOOKUP(A73,Control!$A$1:$B$18,2)</f>
        <v xml:space="preserve">Taunton, Musgrove Park Hospital </v>
      </c>
      <c r="C73" s="309" t="s">
        <v>224</v>
      </c>
      <c r="D73" s="309">
        <v>2021</v>
      </c>
      <c r="E73" s="67" t="s">
        <v>75</v>
      </c>
      <c r="F73" s="45" t="s">
        <v>15</v>
      </c>
      <c r="G73" s="309">
        <v>8</v>
      </c>
      <c r="H73" s="309">
        <v>12</v>
      </c>
      <c r="I73" s="309">
        <v>10</v>
      </c>
      <c r="J73" s="309">
        <v>13</v>
      </c>
      <c r="K73" s="309">
        <v>0</v>
      </c>
      <c r="L73" s="227">
        <v>0</v>
      </c>
      <c r="M73" s="262">
        <v>23</v>
      </c>
      <c r="N73" s="262">
        <v>13</v>
      </c>
      <c r="O73" s="262">
        <v>11</v>
      </c>
      <c r="P73" s="309">
        <v>13</v>
      </c>
      <c r="Q73" s="309">
        <v>9</v>
      </c>
      <c r="R73" s="227">
        <v>0</v>
      </c>
      <c r="S73" s="262">
        <v>33</v>
      </c>
      <c r="T73" s="262">
        <v>22</v>
      </c>
      <c r="U73" s="219">
        <v>0.1</v>
      </c>
      <c r="V73" s="219">
        <v>0.13</v>
      </c>
    </row>
    <row r="74" spans="1:22" x14ac:dyDescent="0.35">
      <c r="A74" s="121">
        <v>17</v>
      </c>
      <c r="B74" s="175" t="str">
        <f>VLOOKUP(A74,Control!$A$1:$B$18,2)</f>
        <v xml:space="preserve">Torquay, Torbay General District Hospital </v>
      </c>
      <c r="C74" s="309" t="s">
        <v>224</v>
      </c>
      <c r="D74" s="309">
        <v>2021</v>
      </c>
      <c r="E74" s="67" t="s">
        <v>70</v>
      </c>
      <c r="F74" s="45" t="s">
        <v>15</v>
      </c>
      <c r="G74" s="309">
        <v>0</v>
      </c>
      <c r="H74" s="309">
        <v>47</v>
      </c>
      <c r="I74" s="309">
        <v>3</v>
      </c>
      <c r="J74" s="309">
        <v>18</v>
      </c>
      <c r="K74" s="309">
        <v>10</v>
      </c>
      <c r="L74" s="227">
        <v>0</v>
      </c>
      <c r="M74" s="262">
        <v>31</v>
      </c>
      <c r="N74" s="262">
        <v>28</v>
      </c>
      <c r="O74" s="262">
        <v>1</v>
      </c>
      <c r="P74" s="309">
        <v>4</v>
      </c>
      <c r="Q74" s="309">
        <v>1</v>
      </c>
      <c r="R74" s="227">
        <v>0</v>
      </c>
      <c r="S74" s="262">
        <v>6</v>
      </c>
      <c r="T74" s="262">
        <v>5</v>
      </c>
      <c r="U74" s="219">
        <v>0.25</v>
      </c>
      <c r="V74" s="219">
        <v>0</v>
      </c>
    </row>
    <row r="75" spans="1:22" x14ac:dyDescent="0.35">
      <c r="A75" s="121">
        <v>18</v>
      </c>
      <c r="B75" s="178" t="str">
        <f>VLOOKUP(A75,Control!$A$1:$B$18,2)</f>
        <v xml:space="preserve">Truro, Royal Cornwall Hospital </v>
      </c>
      <c r="C75" s="309" t="s">
        <v>224</v>
      </c>
      <c r="D75" s="309">
        <v>2021</v>
      </c>
      <c r="E75" s="67" t="s">
        <v>87</v>
      </c>
      <c r="F75" s="45" t="s">
        <v>15</v>
      </c>
      <c r="G75" s="309">
        <v>0</v>
      </c>
      <c r="H75" s="309">
        <v>0</v>
      </c>
      <c r="I75" s="309">
        <v>0</v>
      </c>
      <c r="J75" s="309">
        <v>0</v>
      </c>
      <c r="K75" s="309">
        <v>0</v>
      </c>
      <c r="L75" s="227">
        <v>0</v>
      </c>
      <c r="M75" s="262">
        <v>0</v>
      </c>
      <c r="N75" s="262">
        <v>0</v>
      </c>
      <c r="O75" s="262">
        <v>0</v>
      </c>
      <c r="P75" s="309">
        <v>0</v>
      </c>
      <c r="Q75" s="309">
        <v>0</v>
      </c>
      <c r="R75" s="227">
        <v>0</v>
      </c>
      <c r="S75" s="262">
        <v>0</v>
      </c>
      <c r="T75" s="262">
        <v>0</v>
      </c>
      <c r="U75" s="219">
        <v>0</v>
      </c>
      <c r="V75" s="219">
        <v>0</v>
      </c>
    </row>
    <row r="76" spans="1:22" x14ac:dyDescent="0.35">
      <c r="A76" s="57"/>
      <c r="B76" s="121"/>
      <c r="C76" s="309"/>
      <c r="D76" s="121"/>
      <c r="E76" s="272" t="str">
        <f t="shared" ref="E76:V76" ca="1" si="2">OFFSET(E58,AdultChoice-1,0)</f>
        <v>Aneurin Bevan UHB, Nevill Hall &amp; Royal Gwent Hospitals</v>
      </c>
      <c r="F76" s="274" t="str">
        <f t="shared" ca="1" si="2"/>
        <v>Adults</v>
      </c>
      <c r="G76" s="66">
        <f t="shared" ca="1" si="2"/>
        <v>0</v>
      </c>
      <c r="H76" s="66">
        <f t="shared" ca="1" si="2"/>
        <v>0</v>
      </c>
      <c r="I76" s="66">
        <f t="shared" ca="1" si="2"/>
        <v>52</v>
      </c>
      <c r="J76" s="66">
        <f t="shared" ca="1" si="2"/>
        <v>35</v>
      </c>
      <c r="K76" s="66">
        <f t="shared" ca="1" si="2"/>
        <v>55</v>
      </c>
      <c r="L76" s="66">
        <f t="shared" ca="1" si="2"/>
        <v>67</v>
      </c>
      <c r="M76" s="66">
        <f t="shared" ca="1" si="2"/>
        <v>209</v>
      </c>
      <c r="N76" s="66">
        <f t="shared" ca="1" si="2"/>
        <v>157</v>
      </c>
      <c r="O76" s="66">
        <f t="shared" ca="1" si="2"/>
        <v>0</v>
      </c>
      <c r="P76" s="66">
        <f t="shared" ca="1" si="2"/>
        <v>0</v>
      </c>
      <c r="Q76" s="66">
        <f t="shared" ca="1" si="2"/>
        <v>0</v>
      </c>
      <c r="R76" s="66">
        <f t="shared" ca="1" si="2"/>
        <v>0</v>
      </c>
      <c r="S76" s="66">
        <f t="shared" ca="1" si="2"/>
        <v>0</v>
      </c>
      <c r="T76" s="66">
        <f t="shared" ca="1" si="2"/>
        <v>0</v>
      </c>
      <c r="U76" s="136">
        <f t="shared" ca="1" si="2"/>
        <v>0.08</v>
      </c>
      <c r="V76" s="136">
        <f t="shared" ca="1" si="2"/>
        <v>0</v>
      </c>
    </row>
    <row r="77" spans="1:22" x14ac:dyDescent="0.35">
      <c r="A77" s="59"/>
      <c r="B77" s="119"/>
      <c r="C77" s="262"/>
      <c r="D77" s="119"/>
      <c r="E77" s="31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</row>
    <row r="78" spans="1:22" ht="21" x14ac:dyDescent="0.35">
      <c r="A78" s="70" t="s">
        <v>90</v>
      </c>
      <c r="B78" s="70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</row>
    <row r="79" spans="1:22" x14ac:dyDescent="0.35">
      <c r="B79" s="1">
        <v>2</v>
      </c>
      <c r="C79" s="1">
        <v>3</v>
      </c>
      <c r="D79" s="1">
        <v>4</v>
      </c>
      <c r="E79" s="1">
        <v>5</v>
      </c>
      <c r="F79" s="1">
        <v>6</v>
      </c>
      <c r="G79" s="1">
        <v>7</v>
      </c>
      <c r="H79" s="1">
        <v>8</v>
      </c>
      <c r="I79" s="1">
        <v>9</v>
      </c>
      <c r="J79" s="1">
        <v>10</v>
      </c>
      <c r="K79" s="1">
        <v>11</v>
      </c>
      <c r="L79" s="1">
        <v>12</v>
      </c>
      <c r="M79" s="1">
        <v>13</v>
      </c>
      <c r="N79" s="1">
        <v>14</v>
      </c>
      <c r="O79" s="1">
        <v>15</v>
      </c>
      <c r="P79" s="1">
        <v>16</v>
      </c>
      <c r="Q79" s="1">
        <v>17</v>
      </c>
      <c r="R79" s="1">
        <v>18</v>
      </c>
      <c r="S79" s="1">
        <v>19</v>
      </c>
      <c r="T79" s="1">
        <v>20</v>
      </c>
      <c r="U79" s="1">
        <v>21</v>
      </c>
      <c r="V79" s="1">
        <v>22</v>
      </c>
    </row>
    <row r="80" spans="1:22" x14ac:dyDescent="0.35">
      <c r="A80" s="121"/>
      <c r="B80" s="121"/>
      <c r="C80" s="494" t="s">
        <v>139</v>
      </c>
      <c r="D80" s="494" t="s">
        <v>140</v>
      </c>
      <c r="E80" s="495" t="s">
        <v>0</v>
      </c>
      <c r="F80" s="494" t="s">
        <v>141</v>
      </c>
      <c r="G80" s="494" t="s">
        <v>47</v>
      </c>
      <c r="H80" s="494"/>
      <c r="I80" s="494" t="s">
        <v>48</v>
      </c>
      <c r="J80" s="494"/>
      <c r="K80" s="494"/>
      <c r="L80" s="494"/>
      <c r="M80" s="494"/>
      <c r="N80" s="494"/>
      <c r="O80" s="494"/>
      <c r="P80" s="494"/>
      <c r="Q80" s="494"/>
      <c r="R80" s="494"/>
      <c r="S80" s="494"/>
      <c r="T80" s="494"/>
      <c r="U80" s="494" t="s">
        <v>46</v>
      </c>
      <c r="V80" s="494"/>
    </row>
    <row r="81" spans="1:22" x14ac:dyDescent="0.35">
      <c r="A81" s="121"/>
      <c r="B81" s="121"/>
      <c r="C81" s="494"/>
      <c r="D81" s="494"/>
      <c r="E81" s="495"/>
      <c r="F81" s="494"/>
      <c r="G81" s="494" t="s">
        <v>2</v>
      </c>
      <c r="H81" s="494" t="s">
        <v>3</v>
      </c>
      <c r="I81" s="494" t="s">
        <v>2</v>
      </c>
      <c r="J81" s="494"/>
      <c r="K81" s="494"/>
      <c r="L81" s="494"/>
      <c r="M81" s="494"/>
      <c r="N81" s="494"/>
      <c r="O81" s="494" t="s">
        <v>45</v>
      </c>
      <c r="P81" s="494"/>
      <c r="Q81" s="494"/>
      <c r="R81" s="494"/>
      <c r="S81" s="494"/>
      <c r="T81" s="494"/>
      <c r="U81" s="494" t="s">
        <v>2</v>
      </c>
      <c r="V81" s="494" t="s">
        <v>45</v>
      </c>
    </row>
    <row r="82" spans="1:22" ht="29" x14ac:dyDescent="0.35">
      <c r="A82" s="121"/>
      <c r="B82" s="121"/>
      <c r="C82" s="494"/>
      <c r="D82" s="494"/>
      <c r="E82" s="495"/>
      <c r="F82" s="494"/>
      <c r="G82" s="494"/>
      <c r="H82" s="494"/>
      <c r="I82" s="121" t="s">
        <v>142</v>
      </c>
      <c r="J82" s="121" t="s">
        <v>41</v>
      </c>
      <c r="K82" s="121" t="s">
        <v>42</v>
      </c>
      <c r="L82" s="44" t="s">
        <v>43</v>
      </c>
      <c r="M82" s="121" t="s">
        <v>143</v>
      </c>
      <c r="N82" s="121" t="s">
        <v>144</v>
      </c>
      <c r="O82" s="121" t="s">
        <v>142</v>
      </c>
      <c r="P82" s="121" t="s">
        <v>41</v>
      </c>
      <c r="Q82" s="121" t="s">
        <v>42</v>
      </c>
      <c r="R82" s="44" t="s">
        <v>43</v>
      </c>
      <c r="S82" s="121" t="s">
        <v>143</v>
      </c>
      <c r="T82" s="121" t="s">
        <v>145</v>
      </c>
      <c r="U82" s="494"/>
      <c r="V82" s="494"/>
    </row>
    <row r="83" spans="1:22" x14ac:dyDescent="0.35">
      <c r="A83" s="121">
        <v>1</v>
      </c>
      <c r="B83" s="175" t="str">
        <f>VLOOKUP(A83,Control!$A$1:$B$18,2)</f>
        <v>Aneurin Bevan UHB, Nevill Hall &amp; Royal Gwent Hospitals</v>
      </c>
      <c r="C83" s="309"/>
      <c r="D83" s="121"/>
      <c r="E83" s="67"/>
      <c r="F83" s="45"/>
      <c r="G83" s="255" t="s">
        <v>193</v>
      </c>
      <c r="H83" s="255" t="s">
        <v>193</v>
      </c>
      <c r="I83" s="255" t="s">
        <v>193</v>
      </c>
      <c r="J83" s="255" t="s">
        <v>193</v>
      </c>
      <c r="K83" s="255" t="s">
        <v>193</v>
      </c>
      <c r="L83" s="227" t="s">
        <v>193</v>
      </c>
      <c r="M83" s="256" t="s">
        <v>193</v>
      </c>
      <c r="N83" s="256" t="s">
        <v>193</v>
      </c>
      <c r="O83" s="256" t="s">
        <v>193</v>
      </c>
      <c r="P83" s="255" t="s">
        <v>193</v>
      </c>
      <c r="Q83" s="255" t="s">
        <v>193</v>
      </c>
      <c r="R83" s="227" t="s">
        <v>193</v>
      </c>
      <c r="S83" s="256" t="s">
        <v>193</v>
      </c>
      <c r="T83" s="256" t="s">
        <v>193</v>
      </c>
      <c r="U83" s="219" t="s">
        <v>193</v>
      </c>
      <c r="V83" s="219" t="s">
        <v>193</v>
      </c>
    </row>
    <row r="84" spans="1:22" x14ac:dyDescent="0.35">
      <c r="A84" s="121">
        <v>2</v>
      </c>
      <c r="B84" s="175" t="str">
        <f>VLOOKUP(A84,Control!$A$1:$B$18,2)</f>
        <v>Cardiff &amp; Vale UHB, Noah’s Ark / University Hospital Wales</v>
      </c>
      <c r="C84" s="309" t="s">
        <v>224</v>
      </c>
      <c r="D84" s="121">
        <v>2021</v>
      </c>
      <c r="E84" s="67" t="s">
        <v>196</v>
      </c>
      <c r="F84" s="45" t="s">
        <v>16</v>
      </c>
      <c r="G84" s="255">
        <v>8</v>
      </c>
      <c r="H84" s="255">
        <v>0</v>
      </c>
      <c r="I84" s="255">
        <v>306</v>
      </c>
      <c r="J84" s="255">
        <v>196</v>
      </c>
      <c r="K84" s="255">
        <v>125</v>
      </c>
      <c r="L84" s="227">
        <v>291</v>
      </c>
      <c r="M84" s="256">
        <v>918</v>
      </c>
      <c r="N84" s="256">
        <v>612</v>
      </c>
      <c r="O84" s="256">
        <v>0</v>
      </c>
      <c r="P84" s="255">
        <v>0</v>
      </c>
      <c r="Q84" s="255">
        <v>0</v>
      </c>
      <c r="R84" s="227">
        <v>0</v>
      </c>
      <c r="S84" s="256">
        <v>0</v>
      </c>
      <c r="T84" s="256">
        <v>0</v>
      </c>
      <c r="U84" s="219">
        <v>7.5999999999999998E-2</v>
      </c>
      <c r="V84" s="219">
        <v>0</v>
      </c>
    </row>
    <row r="85" spans="1:22" x14ac:dyDescent="0.35">
      <c r="A85" s="121">
        <v>3</v>
      </c>
      <c r="B85" s="175" t="str">
        <f>VLOOKUP(A85,Control!$A$1:$B$18,2)</f>
        <v>Cwm Taf Morgannwg UHB, Princess of Wales Hospital</v>
      </c>
      <c r="C85" s="309"/>
      <c r="D85" s="121"/>
      <c r="E85" s="67"/>
      <c r="F85" s="45"/>
      <c r="G85" s="255" t="s">
        <v>193</v>
      </c>
      <c r="H85" s="255" t="s">
        <v>193</v>
      </c>
      <c r="I85" s="255" t="s">
        <v>193</v>
      </c>
      <c r="J85" s="255" t="s">
        <v>193</v>
      </c>
      <c r="K85" s="255" t="s">
        <v>193</v>
      </c>
      <c r="L85" s="227" t="s">
        <v>193</v>
      </c>
      <c r="M85" s="256" t="s">
        <v>193</v>
      </c>
      <c r="N85" s="256" t="s">
        <v>193</v>
      </c>
      <c r="O85" s="256" t="s">
        <v>193</v>
      </c>
      <c r="P85" s="255" t="s">
        <v>193</v>
      </c>
      <c r="Q85" s="255" t="s">
        <v>193</v>
      </c>
      <c r="R85" s="227" t="s">
        <v>193</v>
      </c>
      <c r="S85" s="256" t="s">
        <v>193</v>
      </c>
      <c r="T85" s="256" t="s">
        <v>193</v>
      </c>
      <c r="U85" s="219" t="s">
        <v>193</v>
      </c>
      <c r="V85" s="219" t="s">
        <v>193</v>
      </c>
    </row>
    <row r="86" spans="1:22" x14ac:dyDescent="0.35">
      <c r="A86" s="121">
        <v>4</v>
      </c>
      <c r="B86" s="175" t="str">
        <f>VLOOKUP(A86,Control!$A$1:$B$18,2)</f>
        <v xml:space="preserve">Cwm Taf Morgannwg UHB, Royal Glamorgan Hospital </v>
      </c>
      <c r="C86" s="309" t="s">
        <v>224</v>
      </c>
      <c r="D86" s="309">
        <v>2021</v>
      </c>
      <c r="E86" s="67" t="s">
        <v>64</v>
      </c>
      <c r="F86" s="45" t="s">
        <v>16</v>
      </c>
      <c r="G86" s="309">
        <v>13</v>
      </c>
      <c r="H86" s="309">
        <v>14.2</v>
      </c>
      <c r="I86" s="309">
        <v>10</v>
      </c>
      <c r="J86" s="309">
        <v>4</v>
      </c>
      <c r="K86" s="309">
        <v>4</v>
      </c>
      <c r="L86" s="227">
        <v>0</v>
      </c>
      <c r="M86" s="262">
        <v>18</v>
      </c>
      <c r="N86" s="262">
        <v>8</v>
      </c>
      <c r="O86" s="262">
        <v>8</v>
      </c>
      <c r="P86" s="309">
        <v>6</v>
      </c>
      <c r="Q86" s="309">
        <v>5</v>
      </c>
      <c r="R86" s="227">
        <v>4</v>
      </c>
      <c r="S86" s="262">
        <v>23</v>
      </c>
      <c r="T86" s="262">
        <v>15</v>
      </c>
      <c r="U86" s="219">
        <v>0.22</v>
      </c>
      <c r="V86" s="219">
        <v>0.16</v>
      </c>
    </row>
    <row r="87" spans="1:22" x14ac:dyDescent="0.35">
      <c r="A87" s="121">
        <v>5</v>
      </c>
      <c r="B87" s="175" t="str">
        <f>VLOOKUP(A87,Control!$A$1:$B$18,2)</f>
        <v>Cwm Taf Morgannwg UHB, Prince Charles Hospital</v>
      </c>
      <c r="C87" s="309" t="s">
        <v>224</v>
      </c>
      <c r="D87" s="309">
        <v>2021</v>
      </c>
      <c r="E87" s="67" t="s">
        <v>65</v>
      </c>
      <c r="F87" s="45" t="s">
        <v>16</v>
      </c>
      <c r="G87" s="309">
        <v>19.670000000000002</v>
      </c>
      <c r="H87" s="309">
        <v>21.5</v>
      </c>
      <c r="I87" s="309">
        <v>5</v>
      </c>
      <c r="J87" s="309">
        <v>13</v>
      </c>
      <c r="K87" s="309">
        <v>6</v>
      </c>
      <c r="L87" s="227">
        <v>5</v>
      </c>
      <c r="M87" s="262">
        <v>29</v>
      </c>
      <c r="N87" s="262">
        <v>24</v>
      </c>
      <c r="O87" s="262">
        <v>23</v>
      </c>
      <c r="P87" s="309">
        <v>7</v>
      </c>
      <c r="Q87" s="309">
        <v>19</v>
      </c>
      <c r="R87" s="227">
        <v>16</v>
      </c>
      <c r="S87" s="262">
        <v>65</v>
      </c>
      <c r="T87" s="262">
        <v>42</v>
      </c>
      <c r="U87" s="219">
        <v>0.12</v>
      </c>
      <c r="V87" s="219">
        <v>0.26</v>
      </c>
    </row>
    <row r="88" spans="1:22" x14ac:dyDescent="0.35">
      <c r="A88" s="121">
        <v>6</v>
      </c>
      <c r="B88" s="175" t="str">
        <f>VLOOKUP(A88,Control!$A$1:$B$18,2)</f>
        <v>Hywel Dda UHB, Glangwilli Hospital</v>
      </c>
      <c r="C88" s="121" t="s">
        <v>224</v>
      </c>
      <c r="D88" s="121">
        <v>2021</v>
      </c>
      <c r="E88" s="67" t="s">
        <v>202</v>
      </c>
      <c r="F88" s="45" t="s">
        <v>16</v>
      </c>
      <c r="G88" s="255">
        <v>80</v>
      </c>
      <c r="H88" s="255">
        <v>32</v>
      </c>
      <c r="I88" s="255">
        <v>8</v>
      </c>
      <c r="J88" s="255">
        <v>2</v>
      </c>
      <c r="K88" s="255">
        <v>1</v>
      </c>
      <c r="L88" s="227">
        <v>0</v>
      </c>
      <c r="M88" s="256">
        <v>11</v>
      </c>
      <c r="N88" s="256">
        <v>3</v>
      </c>
      <c r="O88" s="256">
        <v>19</v>
      </c>
      <c r="P88" s="255">
        <v>4</v>
      </c>
      <c r="Q88" s="255">
        <v>17</v>
      </c>
      <c r="R88" s="227">
        <v>0</v>
      </c>
      <c r="S88" s="256">
        <v>40</v>
      </c>
      <c r="T88" s="256">
        <v>21</v>
      </c>
      <c r="U88" s="219">
        <v>0</v>
      </c>
      <c r="V88" s="219">
        <v>0</v>
      </c>
    </row>
    <row r="89" spans="1:22" x14ac:dyDescent="0.35">
      <c r="A89" s="121">
        <v>7</v>
      </c>
      <c r="B89" s="175" t="str">
        <f>VLOOKUP(A89,Control!$A$1:$B$18,2)</f>
        <v>Hywel Dda UHB, Withybush Hospital</v>
      </c>
      <c r="C89" s="315" t="s">
        <v>224</v>
      </c>
      <c r="D89" s="315">
        <v>2021</v>
      </c>
      <c r="E89" s="67" t="s">
        <v>88</v>
      </c>
      <c r="F89" s="45" t="s">
        <v>16</v>
      </c>
      <c r="G89" s="315">
        <v>17</v>
      </c>
      <c r="H89" s="315">
        <v>81</v>
      </c>
      <c r="I89" s="315">
        <v>1</v>
      </c>
      <c r="J89" s="315">
        <v>3</v>
      </c>
      <c r="K89" s="315">
        <v>0</v>
      </c>
      <c r="L89" s="227">
        <v>0</v>
      </c>
      <c r="M89" s="262">
        <v>4</v>
      </c>
      <c r="N89" s="262">
        <v>3</v>
      </c>
      <c r="O89" s="262">
        <v>16</v>
      </c>
      <c r="P89" s="315">
        <v>12</v>
      </c>
      <c r="Q89" s="315">
        <v>1</v>
      </c>
      <c r="R89" s="227">
        <v>0</v>
      </c>
      <c r="S89" s="262">
        <v>29</v>
      </c>
      <c r="T89" s="262">
        <v>13</v>
      </c>
      <c r="U89" s="219">
        <v>0</v>
      </c>
      <c r="V89" s="219">
        <v>0</v>
      </c>
    </row>
    <row r="90" spans="1:22" x14ac:dyDescent="0.35">
      <c r="A90" s="121">
        <v>8</v>
      </c>
      <c r="B90" s="175" t="str">
        <f>VLOOKUP(A90,Control!$A$1:$B$18,2)</f>
        <v>Swansea Bay UHB, Morriston / Singleton Hospitals</v>
      </c>
      <c r="C90" s="309" t="s">
        <v>224</v>
      </c>
      <c r="D90" s="309">
        <v>2021</v>
      </c>
      <c r="E90" s="67" t="s">
        <v>200</v>
      </c>
      <c r="F90" s="45" t="s">
        <v>16</v>
      </c>
      <c r="G90" s="309">
        <v>22</v>
      </c>
      <c r="H90" s="309">
        <v>19</v>
      </c>
      <c r="I90" s="309">
        <v>20</v>
      </c>
      <c r="J90" s="309">
        <v>2</v>
      </c>
      <c r="K90" s="309">
        <v>0</v>
      </c>
      <c r="L90" s="227">
        <v>0</v>
      </c>
      <c r="M90" s="262">
        <v>22</v>
      </c>
      <c r="N90" s="262">
        <v>2</v>
      </c>
      <c r="O90" s="262">
        <v>21</v>
      </c>
      <c r="P90" s="309">
        <v>6</v>
      </c>
      <c r="Q90" s="309">
        <v>1</v>
      </c>
      <c r="R90" s="227">
        <v>0</v>
      </c>
      <c r="S90" s="262">
        <v>28</v>
      </c>
      <c r="T90" s="262">
        <v>7</v>
      </c>
      <c r="U90" s="219">
        <v>0.12</v>
      </c>
      <c r="V90" s="219">
        <v>7.0000000000000007E-2</v>
      </c>
    </row>
    <row r="91" spans="1:22" x14ac:dyDescent="0.35">
      <c r="A91" s="121">
        <v>9</v>
      </c>
      <c r="B91" s="175" t="str">
        <f>VLOOKUP(A91,Control!$A$1:$B$18,2)</f>
        <v xml:space="preserve">Barnstaple, North Devon District Hospital </v>
      </c>
      <c r="C91" s="121"/>
      <c r="D91" s="121"/>
      <c r="E91" s="67"/>
      <c r="F91" s="45"/>
      <c r="G91" s="255" t="s">
        <v>193</v>
      </c>
      <c r="H91" s="255" t="s">
        <v>193</v>
      </c>
      <c r="I91" s="255" t="s">
        <v>193</v>
      </c>
      <c r="J91" s="255" t="s">
        <v>193</v>
      </c>
      <c r="K91" s="255" t="s">
        <v>193</v>
      </c>
      <c r="L91" s="227" t="s">
        <v>193</v>
      </c>
      <c r="M91" s="256" t="s">
        <v>193</v>
      </c>
      <c r="N91" s="256" t="s">
        <v>193</v>
      </c>
      <c r="O91" s="256" t="s">
        <v>193</v>
      </c>
      <c r="P91" s="255" t="s">
        <v>193</v>
      </c>
      <c r="Q91" s="255" t="s">
        <v>193</v>
      </c>
      <c r="R91" s="227" t="s">
        <v>193</v>
      </c>
      <c r="S91" s="256" t="s">
        <v>193</v>
      </c>
      <c r="T91" s="256" t="s">
        <v>193</v>
      </c>
      <c r="U91" s="219" t="s">
        <v>193</v>
      </c>
      <c r="V91" s="219" t="s">
        <v>193</v>
      </c>
    </row>
    <row r="92" spans="1:22" x14ac:dyDescent="0.35">
      <c r="A92" s="121">
        <v>10</v>
      </c>
      <c r="B92" s="175" t="str">
        <f>VLOOKUP(A92,Control!$A$1:$B$18,2)</f>
        <v xml:space="preserve">Bath, Royal United Hospital </v>
      </c>
      <c r="C92" s="315" t="s">
        <v>224</v>
      </c>
      <c r="D92" s="315">
        <v>2021</v>
      </c>
      <c r="E92" s="67" t="s">
        <v>83</v>
      </c>
      <c r="F92" s="45" t="s">
        <v>16</v>
      </c>
      <c r="G92" s="315">
        <v>16</v>
      </c>
      <c r="H92" s="315">
        <v>16</v>
      </c>
      <c r="I92" s="315">
        <v>9</v>
      </c>
      <c r="J92" s="315">
        <v>2</v>
      </c>
      <c r="K92" s="315">
        <v>0</v>
      </c>
      <c r="L92" s="227">
        <v>0</v>
      </c>
      <c r="M92" s="262">
        <v>11</v>
      </c>
      <c r="N92" s="262">
        <v>2</v>
      </c>
      <c r="O92" s="262">
        <v>23</v>
      </c>
      <c r="P92" s="315">
        <v>0</v>
      </c>
      <c r="Q92" s="315">
        <v>0</v>
      </c>
      <c r="R92" s="227">
        <v>0</v>
      </c>
      <c r="S92" s="262">
        <v>23</v>
      </c>
      <c r="T92" s="262">
        <v>0</v>
      </c>
      <c r="U92" s="219">
        <v>0.06</v>
      </c>
      <c r="V92" s="219">
        <v>0.06</v>
      </c>
    </row>
    <row r="93" spans="1:22" x14ac:dyDescent="0.35">
      <c r="A93" s="121">
        <v>11</v>
      </c>
      <c r="B93" s="175" t="str">
        <f>VLOOKUP(A93,Control!$A$1:$B$18,2)</f>
        <v>Bristol, Bristol Heart Institute / Bristol Royal Hospital for Children</v>
      </c>
      <c r="C93" s="121" t="s">
        <v>224</v>
      </c>
      <c r="D93" s="121">
        <v>2021</v>
      </c>
      <c r="E93" s="67" t="s">
        <v>81</v>
      </c>
      <c r="F93" s="45" t="s">
        <v>16</v>
      </c>
      <c r="G93" s="255">
        <v>67</v>
      </c>
      <c r="H93" s="255">
        <v>0</v>
      </c>
      <c r="I93" s="255">
        <v>431</v>
      </c>
      <c r="J93" s="255">
        <v>186</v>
      </c>
      <c r="K93" s="255">
        <v>412</v>
      </c>
      <c r="L93" s="227">
        <v>132</v>
      </c>
      <c r="M93" s="256">
        <v>1161</v>
      </c>
      <c r="N93" s="256">
        <v>730</v>
      </c>
      <c r="O93" s="256">
        <v>0</v>
      </c>
      <c r="P93" s="255">
        <v>0</v>
      </c>
      <c r="Q93" s="255">
        <v>0</v>
      </c>
      <c r="R93" s="227">
        <v>0</v>
      </c>
      <c r="S93" s="256">
        <v>0</v>
      </c>
      <c r="T93" s="256">
        <v>0</v>
      </c>
      <c r="U93" s="219">
        <v>9.2999999999999999E-2</v>
      </c>
      <c r="V93" s="219">
        <v>0</v>
      </c>
    </row>
    <row r="94" spans="1:22" x14ac:dyDescent="0.35">
      <c r="A94" s="121">
        <v>12</v>
      </c>
      <c r="B94" s="175" t="str">
        <f>VLOOKUP(A94,Control!$A$1:$B$18,2)</f>
        <v xml:space="preserve">Exeter, Royal Devon and Exeter Hospital </v>
      </c>
      <c r="C94" s="309" t="s">
        <v>224</v>
      </c>
      <c r="D94" s="309">
        <v>2021</v>
      </c>
      <c r="E94" s="67" t="s">
        <v>84</v>
      </c>
      <c r="F94" s="45" t="s">
        <v>16</v>
      </c>
      <c r="G94" s="309">
        <v>9</v>
      </c>
      <c r="H94" s="309">
        <v>15</v>
      </c>
      <c r="I94" s="309">
        <v>37</v>
      </c>
      <c r="J94" s="309">
        <v>27</v>
      </c>
      <c r="K94" s="309">
        <v>61</v>
      </c>
      <c r="L94" s="227">
        <v>43</v>
      </c>
      <c r="M94" s="262">
        <v>168</v>
      </c>
      <c r="N94" s="262">
        <v>131</v>
      </c>
      <c r="O94" s="262">
        <v>22</v>
      </c>
      <c r="P94" s="309">
        <v>22</v>
      </c>
      <c r="Q94" s="309">
        <v>44</v>
      </c>
      <c r="R94" s="227">
        <v>24</v>
      </c>
      <c r="S94" s="262">
        <v>112</v>
      </c>
      <c r="T94" s="262">
        <v>90</v>
      </c>
      <c r="U94" s="219">
        <v>0.17</v>
      </c>
      <c r="V94" s="219">
        <v>0.18</v>
      </c>
    </row>
    <row r="95" spans="1:22" x14ac:dyDescent="0.35">
      <c r="A95" s="121">
        <v>13</v>
      </c>
      <c r="B95" s="175" t="str">
        <f>VLOOKUP(A95,Control!$A$1:$B$18,2)</f>
        <v>Gloucester, Gloucestershire Hospitals</v>
      </c>
      <c r="C95" s="309" t="s">
        <v>224</v>
      </c>
      <c r="D95" s="309">
        <v>2021</v>
      </c>
      <c r="E95" s="67" t="s">
        <v>74</v>
      </c>
      <c r="F95" s="45" t="s">
        <v>16</v>
      </c>
      <c r="G95" s="309">
        <v>11.5</v>
      </c>
      <c r="H95" s="309">
        <v>19.7</v>
      </c>
      <c r="I95" s="309">
        <v>48</v>
      </c>
      <c r="J95" s="309">
        <v>55</v>
      </c>
      <c r="K95" s="309">
        <v>107</v>
      </c>
      <c r="L95" s="227">
        <v>137</v>
      </c>
      <c r="M95" s="262">
        <v>347</v>
      </c>
      <c r="N95" s="262">
        <v>299</v>
      </c>
      <c r="O95" s="262">
        <v>42</v>
      </c>
      <c r="P95" s="309">
        <v>31</v>
      </c>
      <c r="Q95" s="309">
        <v>114</v>
      </c>
      <c r="R95" s="227">
        <v>48</v>
      </c>
      <c r="S95" s="262">
        <v>235</v>
      </c>
      <c r="T95" s="262">
        <v>193</v>
      </c>
      <c r="U95" s="219">
        <v>0.13</v>
      </c>
      <c r="V95" s="219">
        <v>7.0000000000000007E-2</v>
      </c>
    </row>
    <row r="96" spans="1:22" x14ac:dyDescent="0.35">
      <c r="A96" s="121">
        <v>14</v>
      </c>
      <c r="B96" s="175" t="str">
        <f>VLOOKUP(A96,Control!$A$1:$B$18,2)</f>
        <v xml:space="preserve">Plymouth, Derriford Hospital </v>
      </c>
      <c r="C96" s="309"/>
      <c r="D96" s="309"/>
      <c r="E96" s="67"/>
      <c r="F96" s="45"/>
      <c r="G96" s="309" t="s">
        <v>193</v>
      </c>
      <c r="H96" s="309" t="s">
        <v>193</v>
      </c>
      <c r="I96" s="309" t="s">
        <v>193</v>
      </c>
      <c r="J96" s="309" t="s">
        <v>193</v>
      </c>
      <c r="K96" s="309" t="s">
        <v>193</v>
      </c>
      <c r="L96" s="227" t="s">
        <v>193</v>
      </c>
      <c r="M96" s="262" t="s">
        <v>193</v>
      </c>
      <c r="N96" s="262" t="s">
        <v>193</v>
      </c>
      <c r="O96" s="262" t="s">
        <v>193</v>
      </c>
      <c r="P96" s="309" t="s">
        <v>193</v>
      </c>
      <c r="Q96" s="309" t="s">
        <v>193</v>
      </c>
      <c r="R96" s="227" t="s">
        <v>193</v>
      </c>
      <c r="S96" s="262" t="s">
        <v>193</v>
      </c>
      <c r="T96" s="262" t="s">
        <v>193</v>
      </c>
      <c r="U96" s="219" t="s">
        <v>193</v>
      </c>
      <c r="V96" s="219" t="s">
        <v>193</v>
      </c>
    </row>
    <row r="97" spans="1:22" x14ac:dyDescent="0.35">
      <c r="A97" s="121">
        <v>15</v>
      </c>
      <c r="B97" s="175" t="str">
        <f>VLOOKUP(A97,Control!$A$1:$B$18,2)</f>
        <v xml:space="preserve">Swindon, Great Weston Hospital </v>
      </c>
      <c r="C97" s="309" t="s">
        <v>224</v>
      </c>
      <c r="D97" s="309">
        <v>2021</v>
      </c>
      <c r="E97" s="67" t="s">
        <v>60</v>
      </c>
      <c r="F97" s="45" t="s">
        <v>16</v>
      </c>
      <c r="G97" s="309">
        <v>7</v>
      </c>
      <c r="H97" s="309">
        <v>6</v>
      </c>
      <c r="I97" s="309">
        <v>0</v>
      </c>
      <c r="J97" s="309">
        <v>0</v>
      </c>
      <c r="K97" s="309">
        <v>0</v>
      </c>
      <c r="L97" s="227">
        <v>0</v>
      </c>
      <c r="M97" s="262">
        <v>0</v>
      </c>
      <c r="N97" s="262">
        <v>0</v>
      </c>
      <c r="O97" s="262">
        <v>13</v>
      </c>
      <c r="P97" s="309">
        <v>24</v>
      </c>
      <c r="Q97" s="309">
        <v>14</v>
      </c>
      <c r="R97" s="227">
        <v>0</v>
      </c>
      <c r="S97" s="262">
        <v>51</v>
      </c>
      <c r="T97" s="262">
        <v>38</v>
      </c>
      <c r="U97" s="219">
        <v>0.05</v>
      </c>
      <c r="V97" s="219">
        <v>0</v>
      </c>
    </row>
    <row r="98" spans="1:22" x14ac:dyDescent="0.35">
      <c r="A98" s="121">
        <v>16</v>
      </c>
      <c r="B98" s="175" t="str">
        <f>VLOOKUP(A98,Control!$A$1:$B$18,2)</f>
        <v xml:space="preserve">Taunton, Musgrove Park Hospital </v>
      </c>
      <c r="C98" s="121"/>
      <c r="D98" s="121"/>
      <c r="E98" s="67"/>
      <c r="F98" s="45"/>
      <c r="G98" s="255" t="s">
        <v>193</v>
      </c>
      <c r="H98" s="255" t="s">
        <v>193</v>
      </c>
      <c r="I98" s="255" t="s">
        <v>193</v>
      </c>
      <c r="J98" s="255" t="s">
        <v>193</v>
      </c>
      <c r="K98" s="255" t="s">
        <v>193</v>
      </c>
      <c r="L98" s="227" t="s">
        <v>193</v>
      </c>
      <c r="M98" s="256" t="s">
        <v>193</v>
      </c>
      <c r="N98" s="256" t="s">
        <v>193</v>
      </c>
      <c r="O98" s="256" t="s">
        <v>193</v>
      </c>
      <c r="P98" s="255" t="s">
        <v>193</v>
      </c>
      <c r="Q98" s="255" t="s">
        <v>193</v>
      </c>
      <c r="R98" s="227" t="s">
        <v>193</v>
      </c>
      <c r="S98" s="256" t="s">
        <v>193</v>
      </c>
      <c r="T98" s="256" t="s">
        <v>193</v>
      </c>
      <c r="U98" s="219" t="s">
        <v>193</v>
      </c>
      <c r="V98" s="219" t="s">
        <v>193</v>
      </c>
    </row>
    <row r="99" spans="1:22" x14ac:dyDescent="0.35">
      <c r="A99" s="121">
        <v>17</v>
      </c>
      <c r="B99" s="175" t="str">
        <f>VLOOKUP(A99,Control!$A$1:$B$18,2)</f>
        <v xml:space="preserve">Torquay, Torbay General District Hospital </v>
      </c>
      <c r="C99" s="309" t="s">
        <v>224</v>
      </c>
      <c r="D99" s="309">
        <v>2021</v>
      </c>
      <c r="E99" s="67" t="s">
        <v>70</v>
      </c>
      <c r="F99" s="45" t="s">
        <v>16</v>
      </c>
      <c r="G99" s="309">
        <v>5</v>
      </c>
      <c r="H99" s="309">
        <v>6</v>
      </c>
      <c r="I99" s="309">
        <v>18</v>
      </c>
      <c r="J99" s="309">
        <v>28</v>
      </c>
      <c r="K99" s="309">
        <v>0</v>
      </c>
      <c r="L99" s="227">
        <v>1</v>
      </c>
      <c r="M99" s="262">
        <v>47</v>
      </c>
      <c r="N99" s="262">
        <v>29</v>
      </c>
      <c r="O99" s="262">
        <v>18</v>
      </c>
      <c r="P99" s="309">
        <v>51</v>
      </c>
      <c r="Q99" s="309">
        <v>29</v>
      </c>
      <c r="R99" s="227">
        <v>23</v>
      </c>
      <c r="S99" s="262">
        <v>121</v>
      </c>
      <c r="T99" s="262">
        <v>103</v>
      </c>
      <c r="U99" s="219">
        <v>0.03</v>
      </c>
      <c r="V99" s="219">
        <v>0</v>
      </c>
    </row>
    <row r="100" spans="1:22" x14ac:dyDescent="0.35">
      <c r="A100" s="121">
        <v>18</v>
      </c>
      <c r="B100" s="178" t="str">
        <f>VLOOKUP(A100,Control!$A$1:$B$18,2)</f>
        <v xml:space="preserve">Truro, Royal Cornwall Hospital </v>
      </c>
      <c r="C100" s="309" t="s">
        <v>224</v>
      </c>
      <c r="D100" s="309">
        <v>2021</v>
      </c>
      <c r="E100" s="67" t="s">
        <v>87</v>
      </c>
      <c r="F100" s="45" t="s">
        <v>16</v>
      </c>
      <c r="G100" s="309">
        <v>8</v>
      </c>
      <c r="H100" s="309">
        <v>17</v>
      </c>
      <c r="I100" s="309">
        <v>2</v>
      </c>
      <c r="J100" s="309">
        <v>0</v>
      </c>
      <c r="K100" s="309">
        <v>0</v>
      </c>
      <c r="L100" s="227">
        <v>0</v>
      </c>
      <c r="M100" s="262">
        <v>2</v>
      </c>
      <c r="N100" s="262">
        <v>0</v>
      </c>
      <c r="O100" s="262">
        <v>67</v>
      </c>
      <c r="P100" s="309">
        <v>7</v>
      </c>
      <c r="Q100" s="309">
        <v>0</v>
      </c>
      <c r="R100" s="227">
        <v>0</v>
      </c>
      <c r="S100" s="262">
        <v>74</v>
      </c>
      <c r="T100" s="262">
        <v>7</v>
      </c>
      <c r="U100" s="219">
        <v>7.0000000000000007E-2</v>
      </c>
      <c r="V100" s="219">
        <v>0.05</v>
      </c>
    </row>
    <row r="101" spans="1:22" x14ac:dyDescent="0.35">
      <c r="C101" s="58"/>
      <c r="D101" s="58"/>
      <c r="E101" s="6" t="str">
        <f t="shared" ref="E101:V101" ca="1" si="3">OFFSET(E83,PaedChoice-1,0)</f>
        <v>Gloucester, Gloucestershire Hospitals</v>
      </c>
      <c r="F101" s="6" t="str">
        <f t="shared" ca="1" si="3"/>
        <v xml:space="preserve">Paediatrics </v>
      </c>
      <c r="G101" s="5">
        <f t="shared" ca="1" si="3"/>
        <v>11.5</v>
      </c>
      <c r="H101" s="5">
        <f t="shared" ca="1" si="3"/>
        <v>19.7</v>
      </c>
      <c r="I101" s="5">
        <f t="shared" ca="1" si="3"/>
        <v>48</v>
      </c>
      <c r="J101" s="5">
        <f t="shared" ca="1" si="3"/>
        <v>55</v>
      </c>
      <c r="K101" s="5">
        <f t="shared" ca="1" si="3"/>
        <v>107</v>
      </c>
      <c r="L101" s="5">
        <f t="shared" ca="1" si="3"/>
        <v>137</v>
      </c>
      <c r="M101" s="5">
        <f t="shared" ca="1" si="3"/>
        <v>347</v>
      </c>
      <c r="N101" s="5">
        <f t="shared" ca="1" si="3"/>
        <v>299</v>
      </c>
      <c r="O101" s="5">
        <f t="shared" ca="1" si="3"/>
        <v>42</v>
      </c>
      <c r="P101" s="5">
        <f t="shared" ca="1" si="3"/>
        <v>31</v>
      </c>
      <c r="Q101" s="5">
        <f t="shared" ca="1" si="3"/>
        <v>114</v>
      </c>
      <c r="R101" s="5">
        <f t="shared" ca="1" si="3"/>
        <v>48</v>
      </c>
      <c r="S101" s="5">
        <f t="shared" ca="1" si="3"/>
        <v>235</v>
      </c>
      <c r="T101" s="5">
        <f t="shared" ca="1" si="3"/>
        <v>193</v>
      </c>
      <c r="U101" s="271">
        <f t="shared" ca="1" si="3"/>
        <v>0.13</v>
      </c>
      <c r="V101" s="271">
        <f t="shared" ca="1" si="3"/>
        <v>7.0000000000000007E-2</v>
      </c>
    </row>
    <row r="102" spans="1:22" ht="21" x14ac:dyDescent="0.3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</row>
    <row r="103" spans="1:22" ht="21" x14ac:dyDescent="0.35">
      <c r="A103" s="313" t="s">
        <v>8</v>
      </c>
      <c r="B103" s="314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</row>
    <row r="104" spans="1:22" ht="21" x14ac:dyDescent="0.35">
      <c r="A104" s="69" t="s">
        <v>89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</row>
    <row r="105" spans="1:22" x14ac:dyDescent="0.35">
      <c r="B105" s="1">
        <v>2</v>
      </c>
      <c r="C105" s="1">
        <v>3</v>
      </c>
      <c r="D105" s="1">
        <v>4</v>
      </c>
      <c r="E105" s="1">
        <v>5</v>
      </c>
      <c r="F105" s="1">
        <v>6</v>
      </c>
      <c r="G105" s="1">
        <v>7</v>
      </c>
      <c r="H105" s="1">
        <v>8</v>
      </c>
      <c r="I105" s="1">
        <v>9</v>
      </c>
      <c r="J105" s="1">
        <v>10</v>
      </c>
      <c r="K105" s="1">
        <v>11</v>
      </c>
      <c r="L105" s="1">
        <v>12</v>
      </c>
      <c r="M105" s="1">
        <v>13</v>
      </c>
      <c r="N105" s="1">
        <v>14</v>
      </c>
      <c r="O105" s="1">
        <v>15</v>
      </c>
      <c r="P105" s="1">
        <v>16</v>
      </c>
      <c r="Q105" s="1">
        <v>17</v>
      </c>
      <c r="R105" s="1">
        <v>18</v>
      </c>
      <c r="S105" s="1">
        <v>19</v>
      </c>
      <c r="T105" s="1">
        <v>20</v>
      </c>
      <c r="U105" s="1">
        <v>21</v>
      </c>
      <c r="V105" s="1">
        <v>22</v>
      </c>
    </row>
    <row r="106" spans="1:22" x14ac:dyDescent="0.35">
      <c r="A106" s="121"/>
      <c r="B106" s="121"/>
      <c r="C106" s="494" t="s">
        <v>139</v>
      </c>
      <c r="D106" s="494" t="s">
        <v>140</v>
      </c>
      <c r="E106" s="495" t="s">
        <v>0</v>
      </c>
      <c r="F106" s="494" t="s">
        <v>141</v>
      </c>
      <c r="G106" s="494" t="s">
        <v>47</v>
      </c>
      <c r="H106" s="494"/>
      <c r="I106" s="494" t="s">
        <v>48</v>
      </c>
      <c r="J106" s="494"/>
      <c r="K106" s="494"/>
      <c r="L106" s="494"/>
      <c r="M106" s="494"/>
      <c r="N106" s="494"/>
      <c r="O106" s="494"/>
      <c r="P106" s="494"/>
      <c r="Q106" s="494"/>
      <c r="R106" s="494"/>
      <c r="S106" s="494"/>
      <c r="T106" s="494"/>
      <c r="U106" s="494" t="s">
        <v>46</v>
      </c>
      <c r="V106" s="494"/>
    </row>
    <row r="107" spans="1:22" x14ac:dyDescent="0.35">
      <c r="A107" s="121"/>
      <c r="B107" s="121"/>
      <c r="C107" s="494"/>
      <c r="D107" s="494"/>
      <c r="E107" s="495"/>
      <c r="F107" s="494"/>
      <c r="G107" s="494" t="s">
        <v>2</v>
      </c>
      <c r="H107" s="494" t="s">
        <v>3</v>
      </c>
      <c r="I107" s="494" t="s">
        <v>2</v>
      </c>
      <c r="J107" s="494"/>
      <c r="K107" s="494"/>
      <c r="L107" s="494"/>
      <c r="M107" s="494"/>
      <c r="N107" s="494"/>
      <c r="O107" s="494" t="s">
        <v>45</v>
      </c>
      <c r="P107" s="494"/>
      <c r="Q107" s="494"/>
      <c r="R107" s="494"/>
      <c r="S107" s="494"/>
      <c r="T107" s="494"/>
      <c r="U107" s="494" t="s">
        <v>2</v>
      </c>
      <c r="V107" s="494" t="s">
        <v>45</v>
      </c>
    </row>
    <row r="108" spans="1:22" ht="29" x14ac:dyDescent="0.35">
      <c r="A108" s="121"/>
      <c r="B108" s="121"/>
      <c r="C108" s="494"/>
      <c r="D108" s="494"/>
      <c r="E108" s="495"/>
      <c r="F108" s="494"/>
      <c r="G108" s="494"/>
      <c r="H108" s="494"/>
      <c r="I108" s="121" t="s">
        <v>142</v>
      </c>
      <c r="J108" s="121" t="s">
        <v>41</v>
      </c>
      <c r="K108" s="121" t="s">
        <v>42</v>
      </c>
      <c r="L108" s="44" t="s">
        <v>43</v>
      </c>
      <c r="M108" s="121" t="s">
        <v>143</v>
      </c>
      <c r="N108" s="121" t="s">
        <v>144</v>
      </c>
      <c r="O108" s="121" t="s">
        <v>142</v>
      </c>
      <c r="P108" s="121" t="s">
        <v>41</v>
      </c>
      <c r="Q108" s="121" t="s">
        <v>42</v>
      </c>
      <c r="R108" s="44" t="s">
        <v>43</v>
      </c>
      <c r="S108" s="121" t="s">
        <v>143</v>
      </c>
      <c r="T108" s="121" t="s">
        <v>145</v>
      </c>
      <c r="U108" s="494"/>
      <c r="V108" s="494"/>
    </row>
    <row r="109" spans="1:22" x14ac:dyDescent="0.35">
      <c r="A109" s="121">
        <v>1</v>
      </c>
      <c r="B109" s="175" t="str">
        <f>VLOOKUP(A109,Control!$A$1:$B$18,2)</f>
        <v>Aneurin Bevan UHB, Nevill Hall &amp; Royal Gwent Hospitals</v>
      </c>
      <c r="C109" s="315" t="s">
        <v>231</v>
      </c>
      <c r="D109" s="315">
        <v>2021</v>
      </c>
      <c r="E109" s="67" t="s">
        <v>195</v>
      </c>
      <c r="F109" s="45" t="s">
        <v>15</v>
      </c>
      <c r="G109" s="315">
        <v>0</v>
      </c>
      <c r="H109" s="315">
        <v>0</v>
      </c>
      <c r="I109" s="315">
        <v>90</v>
      </c>
      <c r="J109" s="315">
        <v>126</v>
      </c>
      <c r="K109" s="315">
        <v>100</v>
      </c>
      <c r="L109" s="227">
        <v>58</v>
      </c>
      <c r="M109" s="262">
        <v>374</v>
      </c>
      <c r="N109" s="262">
        <v>284</v>
      </c>
      <c r="O109" s="262">
        <v>0</v>
      </c>
      <c r="P109" s="315">
        <v>0</v>
      </c>
      <c r="Q109" s="315">
        <v>0</v>
      </c>
      <c r="R109" s="227">
        <v>0</v>
      </c>
      <c r="S109" s="262">
        <v>0</v>
      </c>
      <c r="T109" s="262">
        <v>0</v>
      </c>
      <c r="U109" s="219">
        <v>0</v>
      </c>
      <c r="V109" s="219">
        <v>0.09</v>
      </c>
    </row>
    <row r="110" spans="1:22" x14ac:dyDescent="0.35">
      <c r="A110" s="121">
        <v>2</v>
      </c>
      <c r="B110" s="175" t="str">
        <f>VLOOKUP(A110,Control!$A$1:$B$18,2)</f>
        <v>Cardiff &amp; Vale UHB, Noah’s Ark / University Hospital Wales</v>
      </c>
      <c r="C110" s="315" t="s">
        <v>231</v>
      </c>
      <c r="D110" s="315">
        <v>2021</v>
      </c>
      <c r="E110" s="67" t="s">
        <v>196</v>
      </c>
      <c r="F110" s="45" t="s">
        <v>15</v>
      </c>
      <c r="G110" s="315">
        <v>18</v>
      </c>
      <c r="H110" s="315">
        <v>0</v>
      </c>
      <c r="I110" s="315">
        <v>32</v>
      </c>
      <c r="J110" s="315">
        <v>29</v>
      </c>
      <c r="K110" s="315">
        <v>59</v>
      </c>
      <c r="L110" s="227">
        <v>28</v>
      </c>
      <c r="M110" s="262">
        <v>148</v>
      </c>
      <c r="N110" s="262">
        <v>116</v>
      </c>
      <c r="O110" s="262">
        <v>0</v>
      </c>
      <c r="P110" s="315">
        <v>0</v>
      </c>
      <c r="Q110" s="315">
        <v>0</v>
      </c>
      <c r="R110" s="227">
        <v>0</v>
      </c>
      <c r="S110" s="262">
        <v>0</v>
      </c>
      <c r="T110" s="262">
        <v>0</v>
      </c>
      <c r="U110" s="219">
        <v>0.14000000000000001</v>
      </c>
      <c r="V110" s="219">
        <v>0</v>
      </c>
    </row>
    <row r="111" spans="1:22" x14ac:dyDescent="0.35">
      <c r="A111" s="121">
        <v>3</v>
      </c>
      <c r="B111" s="175" t="str">
        <f>VLOOKUP(A111,Control!$A$1:$B$18,2)</f>
        <v>Cwm Taf Morgannwg UHB, Princess of Wales Hospital</v>
      </c>
      <c r="C111" s="315" t="s">
        <v>231</v>
      </c>
      <c r="D111" s="315">
        <v>2021</v>
      </c>
      <c r="E111" s="67" t="s">
        <v>197</v>
      </c>
      <c r="F111" s="45" t="s">
        <v>15</v>
      </c>
      <c r="G111" s="315">
        <v>0</v>
      </c>
      <c r="H111" s="315">
        <v>52</v>
      </c>
      <c r="I111" s="315">
        <v>0</v>
      </c>
      <c r="J111" s="315">
        <v>0</v>
      </c>
      <c r="K111" s="315">
        <v>0</v>
      </c>
      <c r="L111" s="227">
        <v>0</v>
      </c>
      <c r="M111" s="262">
        <v>0</v>
      </c>
      <c r="N111" s="262">
        <v>0</v>
      </c>
      <c r="O111" s="262">
        <v>16</v>
      </c>
      <c r="P111" s="315">
        <v>47</v>
      </c>
      <c r="Q111" s="315">
        <v>105</v>
      </c>
      <c r="R111" s="227">
        <v>95</v>
      </c>
      <c r="S111" s="262">
        <v>263</v>
      </c>
      <c r="T111" s="262">
        <v>247</v>
      </c>
      <c r="U111" s="219">
        <v>0</v>
      </c>
      <c r="V111" s="219">
        <v>0.09</v>
      </c>
    </row>
    <row r="112" spans="1:22" x14ac:dyDescent="0.35">
      <c r="A112" s="121">
        <v>4</v>
      </c>
      <c r="B112" s="175" t="str">
        <f>VLOOKUP(A112,Control!$A$1:$B$18,2)</f>
        <v xml:space="preserve">Cwm Taf Morgannwg UHB, Royal Glamorgan Hospital </v>
      </c>
      <c r="C112" s="315" t="s">
        <v>231</v>
      </c>
      <c r="D112" s="315">
        <v>2021</v>
      </c>
      <c r="E112" s="67" t="s">
        <v>198</v>
      </c>
      <c r="F112" s="45" t="s">
        <v>15</v>
      </c>
      <c r="G112" s="315">
        <v>0</v>
      </c>
      <c r="H112" s="315">
        <v>0</v>
      </c>
      <c r="I112" s="315">
        <v>0</v>
      </c>
      <c r="J112" s="315">
        <v>0</v>
      </c>
      <c r="K112" s="315">
        <v>0</v>
      </c>
      <c r="L112" s="227">
        <v>0</v>
      </c>
      <c r="M112" s="262">
        <v>0</v>
      </c>
      <c r="N112" s="262">
        <v>0</v>
      </c>
      <c r="O112" s="262">
        <v>0</v>
      </c>
      <c r="P112" s="315">
        <v>0</v>
      </c>
      <c r="Q112" s="315">
        <v>0</v>
      </c>
      <c r="R112" s="227">
        <v>0</v>
      </c>
      <c r="S112" s="262">
        <v>0</v>
      </c>
      <c r="T112" s="262">
        <v>0</v>
      </c>
      <c r="U112" s="219">
        <v>0.02</v>
      </c>
      <c r="V112" s="219">
        <v>0.03</v>
      </c>
    </row>
    <row r="113" spans="1:22" x14ac:dyDescent="0.35">
      <c r="A113" s="121">
        <v>5</v>
      </c>
      <c r="B113" s="175" t="str">
        <f>VLOOKUP(A113,Control!$A$1:$B$18,2)</f>
        <v>Cwm Taf Morgannwg UHB, Prince Charles Hospital</v>
      </c>
      <c r="C113" s="315" t="s">
        <v>231</v>
      </c>
      <c r="D113" s="315">
        <v>2021</v>
      </c>
      <c r="E113" s="67" t="s">
        <v>199</v>
      </c>
      <c r="F113" s="45" t="s">
        <v>15</v>
      </c>
      <c r="G113" s="315">
        <v>0</v>
      </c>
      <c r="H113" s="315">
        <v>0</v>
      </c>
      <c r="I113" s="315">
        <v>0</v>
      </c>
      <c r="J113" s="315">
        <v>0</v>
      </c>
      <c r="K113" s="315">
        <v>0</v>
      </c>
      <c r="L113" s="227">
        <v>0</v>
      </c>
      <c r="M113" s="262">
        <v>0</v>
      </c>
      <c r="N113" s="262">
        <v>0</v>
      </c>
      <c r="O113" s="262">
        <v>0</v>
      </c>
      <c r="P113" s="315">
        <v>0</v>
      </c>
      <c r="Q113" s="315">
        <v>0</v>
      </c>
      <c r="R113" s="227">
        <v>0</v>
      </c>
      <c r="S113" s="262">
        <v>0</v>
      </c>
      <c r="T113" s="262">
        <v>0</v>
      </c>
      <c r="U113" s="219">
        <v>0</v>
      </c>
      <c r="V113" s="219">
        <v>0</v>
      </c>
    </row>
    <row r="114" spans="1:22" x14ac:dyDescent="0.35">
      <c r="A114" s="121">
        <v>6</v>
      </c>
      <c r="B114" s="175" t="str">
        <f>VLOOKUP(A114,Control!$A$1:$B$18,2)</f>
        <v>Hywel Dda UHB, Glangwilli Hospital</v>
      </c>
      <c r="C114" s="315" t="s">
        <v>231</v>
      </c>
      <c r="D114" s="315">
        <v>2021</v>
      </c>
      <c r="E114" s="67" t="s">
        <v>202</v>
      </c>
      <c r="F114" s="45" t="s">
        <v>15</v>
      </c>
      <c r="G114" s="315">
        <v>0</v>
      </c>
      <c r="H114" s="315">
        <v>12</v>
      </c>
      <c r="I114" s="315">
        <v>0</v>
      </c>
      <c r="J114" s="315">
        <v>0</v>
      </c>
      <c r="K114" s="315">
        <v>0</v>
      </c>
      <c r="L114" s="227">
        <v>0</v>
      </c>
      <c r="M114" s="262">
        <v>0</v>
      </c>
      <c r="N114" s="262">
        <v>0</v>
      </c>
      <c r="O114" s="262">
        <v>22</v>
      </c>
      <c r="P114" s="315">
        <v>36</v>
      </c>
      <c r="Q114" s="315">
        <v>80</v>
      </c>
      <c r="R114" s="227">
        <v>10</v>
      </c>
      <c r="S114" s="262">
        <v>148</v>
      </c>
      <c r="T114" s="262">
        <v>126</v>
      </c>
      <c r="U114" s="219">
        <v>0</v>
      </c>
      <c r="V114" s="219">
        <v>0.08</v>
      </c>
    </row>
    <row r="115" spans="1:22" x14ac:dyDescent="0.35">
      <c r="A115" s="121">
        <v>7</v>
      </c>
      <c r="B115" s="175" t="str">
        <f>VLOOKUP(A115,Control!$A$1:$B$18,2)</f>
        <v>Hywel Dda UHB, Withybush Hospital</v>
      </c>
      <c r="C115" s="315" t="s">
        <v>231</v>
      </c>
      <c r="D115" s="315">
        <v>2021</v>
      </c>
      <c r="E115" s="67" t="s">
        <v>203</v>
      </c>
      <c r="F115" s="45" t="s">
        <v>15</v>
      </c>
      <c r="G115" s="315">
        <v>0</v>
      </c>
      <c r="H115" s="315">
        <v>0</v>
      </c>
      <c r="I115" s="315">
        <v>0</v>
      </c>
      <c r="J115" s="315">
        <v>0</v>
      </c>
      <c r="K115" s="315">
        <v>0</v>
      </c>
      <c r="L115" s="227">
        <v>0</v>
      </c>
      <c r="M115" s="262">
        <v>0</v>
      </c>
      <c r="N115" s="262">
        <v>0</v>
      </c>
      <c r="O115" s="262">
        <v>1</v>
      </c>
      <c r="P115" s="315">
        <v>0</v>
      </c>
      <c r="Q115" s="315">
        <v>0</v>
      </c>
      <c r="R115" s="227">
        <v>0</v>
      </c>
      <c r="S115" s="262">
        <v>1</v>
      </c>
      <c r="T115" s="262">
        <v>0</v>
      </c>
      <c r="U115" s="219">
        <v>0</v>
      </c>
      <c r="V115" s="219">
        <v>0.37</v>
      </c>
    </row>
    <row r="116" spans="1:22" x14ac:dyDescent="0.35">
      <c r="A116" s="121">
        <v>8</v>
      </c>
      <c r="B116" s="175" t="str">
        <f>VLOOKUP(A116,Control!$A$1:$B$18,2)</f>
        <v>Swansea Bay UHB, Morriston / Singleton Hospitals</v>
      </c>
      <c r="C116" s="315" t="s">
        <v>231</v>
      </c>
      <c r="D116" s="315">
        <v>2021</v>
      </c>
      <c r="E116" s="67" t="s">
        <v>200</v>
      </c>
      <c r="F116" s="45" t="s">
        <v>15</v>
      </c>
      <c r="G116" s="315" t="s">
        <v>193</v>
      </c>
      <c r="H116" s="315" t="s">
        <v>193</v>
      </c>
      <c r="I116" s="315">
        <v>0</v>
      </c>
      <c r="J116" s="315">
        <v>0</v>
      </c>
      <c r="K116" s="315">
        <v>0</v>
      </c>
      <c r="L116" s="227">
        <v>0</v>
      </c>
      <c r="M116" s="262">
        <v>0</v>
      </c>
      <c r="N116" s="262">
        <v>0</v>
      </c>
      <c r="O116" s="262">
        <v>13</v>
      </c>
      <c r="P116" s="315">
        <v>7</v>
      </c>
      <c r="Q116" s="315">
        <v>34</v>
      </c>
      <c r="R116" s="227">
        <v>64</v>
      </c>
      <c r="S116" s="262">
        <v>118</v>
      </c>
      <c r="T116" s="262">
        <v>105</v>
      </c>
      <c r="U116" s="219">
        <v>0</v>
      </c>
      <c r="V116" s="219">
        <v>0</v>
      </c>
    </row>
    <row r="117" spans="1:22" x14ac:dyDescent="0.35">
      <c r="A117" s="121">
        <v>9</v>
      </c>
      <c r="B117" s="175" t="str">
        <f>VLOOKUP(A117,Control!$A$1:$B$18,2)</f>
        <v xml:space="preserve">Barnstaple, North Devon District Hospital </v>
      </c>
      <c r="C117" s="121"/>
      <c r="D117" s="121"/>
      <c r="E117" s="67"/>
      <c r="F117" s="45"/>
      <c r="G117" s="255" t="s">
        <v>193</v>
      </c>
      <c r="H117" s="255" t="s">
        <v>193</v>
      </c>
      <c r="I117" s="255" t="s">
        <v>193</v>
      </c>
      <c r="J117" s="255" t="s">
        <v>193</v>
      </c>
      <c r="K117" s="255" t="s">
        <v>193</v>
      </c>
      <c r="L117" s="227" t="s">
        <v>193</v>
      </c>
      <c r="M117" s="256" t="s">
        <v>193</v>
      </c>
      <c r="N117" s="256" t="s">
        <v>193</v>
      </c>
      <c r="O117" s="256" t="s">
        <v>193</v>
      </c>
      <c r="P117" s="255" t="s">
        <v>193</v>
      </c>
      <c r="Q117" s="255" t="s">
        <v>193</v>
      </c>
      <c r="R117" s="227" t="s">
        <v>193</v>
      </c>
      <c r="S117" s="256" t="s">
        <v>193</v>
      </c>
      <c r="T117" s="256" t="s">
        <v>193</v>
      </c>
      <c r="U117" s="219" t="s">
        <v>193</v>
      </c>
      <c r="V117" s="219" t="s">
        <v>193</v>
      </c>
    </row>
    <row r="118" spans="1:22" x14ac:dyDescent="0.35">
      <c r="A118" s="121">
        <v>10</v>
      </c>
      <c r="B118" s="175" t="str">
        <f>VLOOKUP(A118,Control!$A$1:$B$18,2)</f>
        <v xml:space="preserve">Bath, Royal United Hospital </v>
      </c>
      <c r="C118" s="121"/>
      <c r="D118" s="121"/>
      <c r="E118" s="67"/>
      <c r="F118" s="45"/>
      <c r="G118" s="255" t="s">
        <v>193</v>
      </c>
      <c r="H118" s="255" t="s">
        <v>193</v>
      </c>
      <c r="I118" s="255" t="s">
        <v>193</v>
      </c>
      <c r="J118" s="255" t="s">
        <v>193</v>
      </c>
      <c r="K118" s="255" t="s">
        <v>193</v>
      </c>
      <c r="L118" s="227" t="s">
        <v>193</v>
      </c>
      <c r="M118" s="256" t="s">
        <v>193</v>
      </c>
      <c r="N118" s="256" t="s">
        <v>193</v>
      </c>
      <c r="O118" s="256" t="s">
        <v>193</v>
      </c>
      <c r="P118" s="255" t="s">
        <v>193</v>
      </c>
      <c r="Q118" s="255" t="s">
        <v>193</v>
      </c>
      <c r="R118" s="227" t="s">
        <v>193</v>
      </c>
      <c r="S118" s="256" t="s">
        <v>193</v>
      </c>
      <c r="T118" s="256" t="s">
        <v>193</v>
      </c>
      <c r="U118" s="219" t="s">
        <v>193</v>
      </c>
      <c r="V118" s="219" t="s">
        <v>193</v>
      </c>
    </row>
    <row r="119" spans="1:22" x14ac:dyDescent="0.35">
      <c r="A119" s="121">
        <v>11</v>
      </c>
      <c r="B119" s="175" t="str">
        <f>VLOOKUP(A119,Control!$A$1:$B$18,2)</f>
        <v>Bristol, Bristol Heart Institute / Bristol Royal Hospital for Children</v>
      </c>
      <c r="C119" s="315" t="s">
        <v>231</v>
      </c>
      <c r="D119" s="315">
        <v>2021</v>
      </c>
      <c r="E119" s="67" t="s">
        <v>57</v>
      </c>
      <c r="F119" s="45" t="s">
        <v>15</v>
      </c>
      <c r="G119" s="315">
        <v>12</v>
      </c>
      <c r="H119" s="315" t="s">
        <v>232</v>
      </c>
      <c r="I119" s="315">
        <v>700</v>
      </c>
      <c r="J119" s="315">
        <v>258</v>
      </c>
      <c r="K119" s="315">
        <v>195</v>
      </c>
      <c r="L119" s="227">
        <v>66</v>
      </c>
      <c r="M119" s="262">
        <v>1219</v>
      </c>
      <c r="N119" s="262">
        <v>519</v>
      </c>
      <c r="O119" s="262" t="s">
        <v>232</v>
      </c>
      <c r="P119" s="315" t="s">
        <v>232</v>
      </c>
      <c r="Q119" s="315" t="s">
        <v>232</v>
      </c>
      <c r="R119" s="227" t="s">
        <v>232</v>
      </c>
      <c r="S119" s="262">
        <v>0</v>
      </c>
      <c r="T119" s="262">
        <v>0</v>
      </c>
      <c r="U119" s="219">
        <v>0.12</v>
      </c>
      <c r="V119" s="219" t="s">
        <v>232</v>
      </c>
    </row>
    <row r="120" spans="1:22" x14ac:dyDescent="0.35">
      <c r="A120" s="121">
        <v>12</v>
      </c>
      <c r="B120" s="175" t="str">
        <f>VLOOKUP(A120,Control!$A$1:$B$18,2)</f>
        <v xml:space="preserve">Exeter, Royal Devon and Exeter Hospital </v>
      </c>
      <c r="C120" s="121"/>
      <c r="D120" s="121"/>
      <c r="E120" s="67"/>
      <c r="F120" s="45"/>
      <c r="G120" s="255" t="s">
        <v>193</v>
      </c>
      <c r="H120" s="255" t="s">
        <v>193</v>
      </c>
      <c r="I120" s="255" t="s">
        <v>193</v>
      </c>
      <c r="J120" s="255" t="s">
        <v>193</v>
      </c>
      <c r="K120" s="255" t="s">
        <v>193</v>
      </c>
      <c r="L120" s="227" t="s">
        <v>193</v>
      </c>
      <c r="M120" s="256" t="s">
        <v>193</v>
      </c>
      <c r="N120" s="256" t="s">
        <v>193</v>
      </c>
      <c r="O120" s="256" t="s">
        <v>193</v>
      </c>
      <c r="P120" s="255" t="s">
        <v>193</v>
      </c>
      <c r="Q120" s="255" t="s">
        <v>193</v>
      </c>
      <c r="R120" s="227" t="s">
        <v>193</v>
      </c>
      <c r="S120" s="256" t="s">
        <v>193</v>
      </c>
      <c r="T120" s="256" t="s">
        <v>193</v>
      </c>
      <c r="U120" s="219" t="s">
        <v>193</v>
      </c>
      <c r="V120" s="219" t="s">
        <v>193</v>
      </c>
    </row>
    <row r="121" spans="1:22" x14ac:dyDescent="0.35">
      <c r="A121" s="121">
        <v>13</v>
      </c>
      <c r="B121" s="175" t="str">
        <f>VLOOKUP(A121,Control!$A$1:$B$18,2)</f>
        <v>Gloucester, Gloucestershire Hospitals</v>
      </c>
      <c r="C121" s="315" t="s">
        <v>231</v>
      </c>
      <c r="D121" s="315">
        <v>2021</v>
      </c>
      <c r="E121" s="67" t="s">
        <v>74</v>
      </c>
      <c r="F121" s="45" t="s">
        <v>15</v>
      </c>
      <c r="G121" s="315">
        <v>10</v>
      </c>
      <c r="H121" s="315">
        <v>10</v>
      </c>
      <c r="I121" s="315">
        <v>10</v>
      </c>
      <c r="J121" s="315">
        <v>8</v>
      </c>
      <c r="K121" s="315">
        <v>28</v>
      </c>
      <c r="L121" s="227">
        <v>17</v>
      </c>
      <c r="M121" s="262">
        <v>63</v>
      </c>
      <c r="N121" s="262">
        <v>53</v>
      </c>
      <c r="O121" s="262">
        <v>10</v>
      </c>
      <c r="P121" s="315">
        <v>8</v>
      </c>
      <c r="Q121" s="315">
        <v>28</v>
      </c>
      <c r="R121" s="227">
        <v>17</v>
      </c>
      <c r="S121" s="262">
        <v>63</v>
      </c>
      <c r="T121" s="262">
        <v>53</v>
      </c>
      <c r="U121" s="219">
        <v>0.06</v>
      </c>
      <c r="V121" s="219">
        <v>0.06</v>
      </c>
    </row>
    <row r="122" spans="1:22" x14ac:dyDescent="0.35">
      <c r="A122" s="121">
        <v>14</v>
      </c>
      <c r="B122" s="175" t="str">
        <f>VLOOKUP(A122,Control!$A$1:$B$18,2)</f>
        <v xml:space="preserve">Plymouth, Derriford Hospital </v>
      </c>
      <c r="C122" s="315" t="s">
        <v>231</v>
      </c>
      <c r="D122" s="315">
        <v>0</v>
      </c>
      <c r="E122" s="67" t="s">
        <v>86</v>
      </c>
      <c r="F122" s="45" t="s">
        <v>15</v>
      </c>
      <c r="G122" s="315">
        <v>26</v>
      </c>
      <c r="H122" s="315">
        <v>0</v>
      </c>
      <c r="I122" s="315">
        <v>219</v>
      </c>
      <c r="J122" s="315">
        <v>123</v>
      </c>
      <c r="K122" s="315">
        <v>245</v>
      </c>
      <c r="L122" s="227">
        <v>179</v>
      </c>
      <c r="M122" s="262">
        <v>547</v>
      </c>
      <c r="N122" s="262">
        <v>1193</v>
      </c>
      <c r="O122" s="262">
        <v>0</v>
      </c>
      <c r="P122" s="315">
        <v>0</v>
      </c>
      <c r="Q122" s="315">
        <v>0</v>
      </c>
      <c r="R122" s="227">
        <v>0</v>
      </c>
      <c r="S122" s="262">
        <v>0</v>
      </c>
      <c r="T122" s="262">
        <v>0</v>
      </c>
      <c r="U122" s="219">
        <v>0.08</v>
      </c>
      <c r="V122" s="219">
        <v>0</v>
      </c>
    </row>
    <row r="123" spans="1:22" x14ac:dyDescent="0.35">
      <c r="A123" s="121">
        <v>15</v>
      </c>
      <c r="B123" s="175" t="str">
        <f>VLOOKUP(A123,Control!$A$1:$B$18,2)</f>
        <v xml:space="preserve">Swindon, Great Weston Hospital </v>
      </c>
      <c r="C123" s="121"/>
      <c r="D123" s="121"/>
      <c r="E123" s="67"/>
      <c r="F123" s="45"/>
      <c r="G123" s="255" t="s">
        <v>193</v>
      </c>
      <c r="H123" s="255" t="s">
        <v>193</v>
      </c>
      <c r="I123" s="255" t="s">
        <v>193</v>
      </c>
      <c r="J123" s="255" t="s">
        <v>193</v>
      </c>
      <c r="K123" s="255" t="s">
        <v>193</v>
      </c>
      <c r="L123" s="227" t="s">
        <v>193</v>
      </c>
      <c r="M123" s="256" t="s">
        <v>193</v>
      </c>
      <c r="N123" s="256" t="s">
        <v>193</v>
      </c>
      <c r="O123" s="256" t="s">
        <v>193</v>
      </c>
      <c r="P123" s="255" t="s">
        <v>193</v>
      </c>
      <c r="Q123" s="255" t="s">
        <v>193</v>
      </c>
      <c r="R123" s="227" t="s">
        <v>193</v>
      </c>
      <c r="S123" s="256" t="s">
        <v>193</v>
      </c>
      <c r="T123" s="256" t="s">
        <v>193</v>
      </c>
      <c r="U123" s="219" t="s">
        <v>193</v>
      </c>
      <c r="V123" s="219" t="s">
        <v>193</v>
      </c>
    </row>
    <row r="124" spans="1:22" x14ac:dyDescent="0.35">
      <c r="A124" s="121">
        <v>16</v>
      </c>
      <c r="B124" s="175" t="str">
        <f>VLOOKUP(A124,Control!$A$1:$B$18,2)</f>
        <v xml:space="preserve">Taunton, Musgrove Park Hospital </v>
      </c>
      <c r="C124" s="315" t="s">
        <v>231</v>
      </c>
      <c r="D124" s="315">
        <v>2021</v>
      </c>
      <c r="E124" s="67" t="s">
        <v>75</v>
      </c>
      <c r="F124" s="45" t="s">
        <v>15</v>
      </c>
      <c r="G124" s="315">
        <v>8</v>
      </c>
      <c r="H124" s="315">
        <v>8</v>
      </c>
      <c r="I124" s="315">
        <v>11</v>
      </c>
      <c r="J124" s="315">
        <v>3</v>
      </c>
      <c r="K124" s="315">
        <v>0</v>
      </c>
      <c r="L124" s="227">
        <v>0</v>
      </c>
      <c r="M124" s="262">
        <v>14</v>
      </c>
      <c r="N124" s="262">
        <v>3</v>
      </c>
      <c r="O124" s="262">
        <v>15</v>
      </c>
      <c r="P124" s="315">
        <v>11</v>
      </c>
      <c r="Q124" s="315">
        <v>16</v>
      </c>
      <c r="R124" s="227">
        <v>0</v>
      </c>
      <c r="S124" s="262">
        <v>42</v>
      </c>
      <c r="T124" s="262">
        <v>27</v>
      </c>
      <c r="U124" s="219">
        <v>0.19</v>
      </c>
      <c r="V124" s="219">
        <v>0.13</v>
      </c>
    </row>
    <row r="125" spans="1:22" x14ac:dyDescent="0.35">
      <c r="A125" s="121">
        <v>17</v>
      </c>
      <c r="B125" s="175" t="str">
        <f>VLOOKUP(A125,Control!$A$1:$B$18,2)</f>
        <v xml:space="preserve">Torquay, Torbay General District Hospital </v>
      </c>
      <c r="C125" s="315" t="s">
        <v>231</v>
      </c>
      <c r="D125" s="315">
        <v>2021</v>
      </c>
      <c r="E125" s="67" t="s">
        <v>70</v>
      </c>
      <c r="F125" s="45" t="s">
        <v>15</v>
      </c>
      <c r="G125" s="315">
        <v>0</v>
      </c>
      <c r="H125" s="315">
        <v>36</v>
      </c>
      <c r="I125" s="315">
        <v>9</v>
      </c>
      <c r="J125" s="315">
        <v>13</v>
      </c>
      <c r="K125" s="315">
        <v>0</v>
      </c>
      <c r="L125" s="227">
        <v>0</v>
      </c>
      <c r="M125" s="262">
        <v>22</v>
      </c>
      <c r="N125" s="262">
        <v>13</v>
      </c>
      <c r="O125" s="262">
        <v>2</v>
      </c>
      <c r="P125" s="315">
        <v>7</v>
      </c>
      <c r="Q125" s="315">
        <v>7</v>
      </c>
      <c r="R125" s="227">
        <v>0</v>
      </c>
      <c r="S125" s="262">
        <v>16</v>
      </c>
      <c r="T125" s="262">
        <v>14</v>
      </c>
      <c r="U125" s="219">
        <v>0.1</v>
      </c>
      <c r="V125" s="219">
        <v>0.11</v>
      </c>
    </row>
    <row r="126" spans="1:22" x14ac:dyDescent="0.35">
      <c r="A126" s="121">
        <v>18</v>
      </c>
      <c r="B126" s="178" t="str">
        <f>VLOOKUP(A126,Control!$A$1:$B$18,2)</f>
        <v xml:space="preserve">Truro, Royal Cornwall Hospital </v>
      </c>
      <c r="C126" s="121"/>
      <c r="D126" s="121"/>
      <c r="E126" s="67"/>
      <c r="F126" s="45"/>
      <c r="G126" s="255" t="s">
        <v>193</v>
      </c>
      <c r="H126" s="255" t="s">
        <v>193</v>
      </c>
      <c r="I126" s="255" t="s">
        <v>193</v>
      </c>
      <c r="J126" s="255" t="s">
        <v>193</v>
      </c>
      <c r="K126" s="255" t="s">
        <v>193</v>
      </c>
      <c r="L126" s="227" t="s">
        <v>193</v>
      </c>
      <c r="M126" s="256" t="s">
        <v>193</v>
      </c>
      <c r="N126" s="256" t="s">
        <v>193</v>
      </c>
      <c r="O126" s="256" t="s">
        <v>193</v>
      </c>
      <c r="P126" s="255" t="s">
        <v>193</v>
      </c>
      <c r="Q126" s="255" t="s">
        <v>193</v>
      </c>
      <c r="R126" s="227" t="s">
        <v>193</v>
      </c>
      <c r="S126" s="256" t="s">
        <v>193</v>
      </c>
      <c r="T126" s="256" t="s">
        <v>193</v>
      </c>
      <c r="U126" s="219" t="s">
        <v>193</v>
      </c>
      <c r="V126" s="219" t="s">
        <v>193</v>
      </c>
    </row>
    <row r="127" spans="1:22" x14ac:dyDescent="0.35">
      <c r="A127" s="57"/>
      <c r="B127" s="121"/>
      <c r="C127" s="57"/>
      <c r="D127" s="121"/>
      <c r="E127" s="272" t="str">
        <f t="shared" ref="E127:V127" ca="1" si="4">OFFSET(E109,AdultChoice-1,0)</f>
        <v>Aneurin Bevan UHB, Nevill Hall &amp; Royal Gwent Hospitals</v>
      </c>
      <c r="F127" s="274" t="str">
        <f t="shared" ca="1" si="4"/>
        <v>Adults</v>
      </c>
      <c r="G127" s="66">
        <f t="shared" ca="1" si="4"/>
        <v>0</v>
      </c>
      <c r="H127" s="66">
        <f t="shared" ca="1" si="4"/>
        <v>0</v>
      </c>
      <c r="I127" s="66">
        <f t="shared" ca="1" si="4"/>
        <v>90</v>
      </c>
      <c r="J127" s="66">
        <f t="shared" ca="1" si="4"/>
        <v>126</v>
      </c>
      <c r="K127" s="66">
        <f t="shared" ca="1" si="4"/>
        <v>100</v>
      </c>
      <c r="L127" s="66">
        <f t="shared" ca="1" si="4"/>
        <v>58</v>
      </c>
      <c r="M127" s="66">
        <f t="shared" ca="1" si="4"/>
        <v>374</v>
      </c>
      <c r="N127" s="66">
        <f t="shared" ca="1" si="4"/>
        <v>284</v>
      </c>
      <c r="O127" s="66">
        <f t="shared" ca="1" si="4"/>
        <v>0</v>
      </c>
      <c r="P127" s="66">
        <f t="shared" ca="1" si="4"/>
        <v>0</v>
      </c>
      <c r="Q127" s="66">
        <f t="shared" ca="1" si="4"/>
        <v>0</v>
      </c>
      <c r="R127" s="66">
        <f t="shared" ca="1" si="4"/>
        <v>0</v>
      </c>
      <c r="S127" s="66">
        <f t="shared" ca="1" si="4"/>
        <v>0</v>
      </c>
      <c r="T127" s="66">
        <f t="shared" ca="1" si="4"/>
        <v>0</v>
      </c>
      <c r="U127" s="136">
        <f t="shared" ca="1" si="4"/>
        <v>0</v>
      </c>
      <c r="V127" s="136">
        <f t="shared" ca="1" si="4"/>
        <v>0.09</v>
      </c>
    </row>
    <row r="128" spans="1:22" x14ac:dyDescent="0.35">
      <c r="A128" s="59"/>
      <c r="B128" s="119"/>
      <c r="C128" s="59"/>
      <c r="D128" s="119"/>
      <c r="E128" s="31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</row>
    <row r="129" spans="1:22" ht="21" x14ac:dyDescent="0.35">
      <c r="A129" s="70" t="s">
        <v>90</v>
      </c>
      <c r="B129" s="70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</row>
    <row r="130" spans="1:22" x14ac:dyDescent="0.35">
      <c r="B130" s="1">
        <v>2</v>
      </c>
      <c r="C130" s="1">
        <v>3</v>
      </c>
      <c r="D130" s="1">
        <v>4</v>
      </c>
      <c r="E130" s="1">
        <v>5</v>
      </c>
      <c r="F130" s="1">
        <v>6</v>
      </c>
      <c r="G130" s="1">
        <v>7</v>
      </c>
      <c r="H130" s="1">
        <v>8</v>
      </c>
      <c r="I130" s="1">
        <v>9</v>
      </c>
      <c r="J130" s="1">
        <v>10</v>
      </c>
      <c r="K130" s="1">
        <v>11</v>
      </c>
      <c r="L130" s="1">
        <v>12</v>
      </c>
      <c r="M130" s="1">
        <v>13</v>
      </c>
      <c r="N130" s="1">
        <v>14</v>
      </c>
      <c r="O130" s="1">
        <v>15</v>
      </c>
      <c r="P130" s="1">
        <v>16</v>
      </c>
      <c r="Q130" s="1">
        <v>17</v>
      </c>
      <c r="R130" s="1">
        <v>18</v>
      </c>
      <c r="S130" s="1">
        <v>19</v>
      </c>
      <c r="T130" s="1">
        <v>20</v>
      </c>
      <c r="U130" s="1">
        <v>21</v>
      </c>
      <c r="V130" s="1">
        <v>22</v>
      </c>
    </row>
    <row r="131" spans="1:22" x14ac:dyDescent="0.35">
      <c r="A131" s="121"/>
      <c r="B131" s="121"/>
      <c r="C131" s="494" t="s">
        <v>139</v>
      </c>
      <c r="D131" s="494" t="s">
        <v>140</v>
      </c>
      <c r="E131" s="495" t="s">
        <v>0</v>
      </c>
      <c r="F131" s="494" t="s">
        <v>141</v>
      </c>
      <c r="G131" s="494" t="s">
        <v>47</v>
      </c>
      <c r="H131" s="494"/>
      <c r="I131" s="494" t="s">
        <v>48</v>
      </c>
      <c r="J131" s="494"/>
      <c r="K131" s="494"/>
      <c r="L131" s="494"/>
      <c r="M131" s="494"/>
      <c r="N131" s="494"/>
      <c r="O131" s="494"/>
      <c r="P131" s="494"/>
      <c r="Q131" s="494"/>
      <c r="R131" s="494"/>
      <c r="S131" s="494"/>
      <c r="T131" s="494"/>
      <c r="U131" s="494" t="s">
        <v>46</v>
      </c>
      <c r="V131" s="494"/>
    </row>
    <row r="132" spans="1:22" x14ac:dyDescent="0.35">
      <c r="A132" s="121"/>
      <c r="B132" s="121"/>
      <c r="C132" s="494"/>
      <c r="D132" s="494"/>
      <c r="E132" s="495"/>
      <c r="F132" s="494"/>
      <c r="G132" s="494" t="s">
        <v>2</v>
      </c>
      <c r="H132" s="494" t="s">
        <v>3</v>
      </c>
      <c r="I132" s="494" t="s">
        <v>2</v>
      </c>
      <c r="J132" s="494"/>
      <c r="K132" s="494"/>
      <c r="L132" s="494"/>
      <c r="M132" s="494"/>
      <c r="N132" s="494"/>
      <c r="O132" s="494" t="s">
        <v>45</v>
      </c>
      <c r="P132" s="494"/>
      <c r="Q132" s="494"/>
      <c r="R132" s="494"/>
      <c r="S132" s="494"/>
      <c r="T132" s="494"/>
      <c r="U132" s="494" t="s">
        <v>2</v>
      </c>
      <c r="V132" s="494" t="s">
        <v>45</v>
      </c>
    </row>
    <row r="133" spans="1:22" ht="29" x14ac:dyDescent="0.35">
      <c r="A133" s="121"/>
      <c r="B133" s="121"/>
      <c r="C133" s="494"/>
      <c r="D133" s="494"/>
      <c r="E133" s="495"/>
      <c r="F133" s="494"/>
      <c r="G133" s="494"/>
      <c r="H133" s="494"/>
      <c r="I133" s="121" t="s">
        <v>142</v>
      </c>
      <c r="J133" s="121" t="s">
        <v>41</v>
      </c>
      <c r="K133" s="121" t="s">
        <v>42</v>
      </c>
      <c r="L133" s="44" t="s">
        <v>43</v>
      </c>
      <c r="M133" s="121" t="s">
        <v>143</v>
      </c>
      <c r="N133" s="121" t="s">
        <v>144</v>
      </c>
      <c r="O133" s="121" t="s">
        <v>142</v>
      </c>
      <c r="P133" s="121" t="s">
        <v>41</v>
      </c>
      <c r="Q133" s="121" t="s">
        <v>42</v>
      </c>
      <c r="R133" s="44" t="s">
        <v>43</v>
      </c>
      <c r="S133" s="121" t="s">
        <v>143</v>
      </c>
      <c r="T133" s="121" t="s">
        <v>145</v>
      </c>
      <c r="U133" s="494"/>
      <c r="V133" s="494"/>
    </row>
    <row r="134" spans="1:22" x14ac:dyDescent="0.35">
      <c r="A134" s="121">
        <v>1</v>
      </c>
      <c r="B134" s="175" t="str">
        <f>VLOOKUP(A134,Control!$A$1:$B$18,2)</f>
        <v>Aneurin Bevan UHB, Nevill Hall &amp; Royal Gwent Hospitals</v>
      </c>
      <c r="C134" s="121" t="s">
        <v>231</v>
      </c>
      <c r="D134" s="121">
        <v>2021</v>
      </c>
      <c r="E134" s="67" t="s">
        <v>195</v>
      </c>
      <c r="F134" s="45" t="s">
        <v>16</v>
      </c>
      <c r="G134" s="255">
        <v>21</v>
      </c>
      <c r="H134" s="255">
        <v>25</v>
      </c>
      <c r="I134" s="255" t="s">
        <v>193</v>
      </c>
      <c r="J134" s="255" t="s">
        <v>193</v>
      </c>
      <c r="K134" s="255" t="s">
        <v>193</v>
      </c>
      <c r="L134" s="227" t="s">
        <v>193</v>
      </c>
      <c r="M134" s="256" t="s">
        <v>193</v>
      </c>
      <c r="N134" s="256" t="s">
        <v>193</v>
      </c>
      <c r="O134" s="256" t="s">
        <v>193</v>
      </c>
      <c r="P134" s="255" t="s">
        <v>193</v>
      </c>
      <c r="Q134" s="255" t="s">
        <v>193</v>
      </c>
      <c r="R134" s="227" t="s">
        <v>193</v>
      </c>
      <c r="S134" s="256" t="s">
        <v>193</v>
      </c>
      <c r="T134" s="256" t="s">
        <v>193</v>
      </c>
      <c r="U134" s="219">
        <v>0.105</v>
      </c>
      <c r="V134" s="219">
        <v>0.09</v>
      </c>
    </row>
    <row r="135" spans="1:22" x14ac:dyDescent="0.35">
      <c r="A135" s="121">
        <v>2</v>
      </c>
      <c r="B135" s="175" t="str">
        <f>VLOOKUP(A135,Control!$A$1:$B$18,2)</f>
        <v>Cardiff &amp; Vale UHB, Noah’s Ark / University Hospital Wales</v>
      </c>
      <c r="C135" s="315" t="s">
        <v>231</v>
      </c>
      <c r="D135" s="315">
        <v>2021</v>
      </c>
      <c r="E135" s="67" t="s">
        <v>196</v>
      </c>
      <c r="F135" s="45" t="s">
        <v>16</v>
      </c>
      <c r="G135" s="315">
        <v>0</v>
      </c>
      <c r="H135" s="315">
        <v>0</v>
      </c>
      <c r="I135" s="315">
        <v>227</v>
      </c>
      <c r="J135" s="315">
        <v>242</v>
      </c>
      <c r="K135" s="315">
        <v>208</v>
      </c>
      <c r="L135" s="227">
        <v>185</v>
      </c>
      <c r="M135" s="262">
        <v>862</v>
      </c>
      <c r="N135" s="262">
        <v>635</v>
      </c>
      <c r="O135" s="262">
        <v>0</v>
      </c>
      <c r="P135" s="315">
        <v>0</v>
      </c>
      <c r="Q135" s="315">
        <v>0</v>
      </c>
      <c r="R135" s="227">
        <v>0</v>
      </c>
      <c r="S135" s="262">
        <v>0</v>
      </c>
      <c r="T135" s="262">
        <v>0</v>
      </c>
      <c r="U135" s="219">
        <v>7.0000000000000007E-2</v>
      </c>
      <c r="V135" s="219">
        <v>0</v>
      </c>
    </row>
    <row r="136" spans="1:22" x14ac:dyDescent="0.35">
      <c r="A136" s="121">
        <v>3</v>
      </c>
      <c r="B136" s="175" t="str">
        <f>VLOOKUP(A136,Control!$A$1:$B$18,2)</f>
        <v>Cwm Taf Morgannwg UHB, Princess of Wales Hospital</v>
      </c>
      <c r="C136" s="315" t="s">
        <v>231</v>
      </c>
      <c r="D136" s="315">
        <v>2021</v>
      </c>
      <c r="E136" s="67" t="s">
        <v>197</v>
      </c>
      <c r="F136" s="45" t="s">
        <v>16</v>
      </c>
      <c r="G136" s="315">
        <v>4</v>
      </c>
      <c r="H136" s="315">
        <v>8</v>
      </c>
      <c r="I136" s="315">
        <v>20</v>
      </c>
      <c r="J136" s="315">
        <v>0</v>
      </c>
      <c r="K136" s="315">
        <v>0</v>
      </c>
      <c r="L136" s="227">
        <v>0</v>
      </c>
      <c r="M136" s="262">
        <v>20</v>
      </c>
      <c r="N136" s="262">
        <v>0</v>
      </c>
      <c r="O136" s="262">
        <v>100</v>
      </c>
      <c r="P136" s="315">
        <v>40</v>
      </c>
      <c r="Q136" s="315">
        <v>20</v>
      </c>
      <c r="R136" s="227">
        <v>0</v>
      </c>
      <c r="S136" s="262">
        <v>160</v>
      </c>
      <c r="T136" s="262">
        <v>60</v>
      </c>
      <c r="U136" s="219">
        <v>0.2</v>
      </c>
      <c r="V136" s="219">
        <v>0.05</v>
      </c>
    </row>
    <row r="137" spans="1:22" x14ac:dyDescent="0.35">
      <c r="A137" s="121">
        <v>4</v>
      </c>
      <c r="B137" s="175" t="str">
        <f>VLOOKUP(A137,Control!$A$1:$B$18,2)</f>
        <v xml:space="preserve">Cwm Taf Morgannwg UHB, Royal Glamorgan Hospital </v>
      </c>
      <c r="C137" s="315" t="s">
        <v>231</v>
      </c>
      <c r="D137" s="315">
        <v>2021</v>
      </c>
      <c r="E137" s="67" t="s">
        <v>198</v>
      </c>
      <c r="F137" s="45" t="s">
        <v>16</v>
      </c>
      <c r="G137" s="315">
        <v>10.97</v>
      </c>
      <c r="H137" s="315">
        <v>24</v>
      </c>
      <c r="I137" s="315">
        <v>2</v>
      </c>
      <c r="J137" s="315">
        <v>2</v>
      </c>
      <c r="K137" s="315">
        <v>0</v>
      </c>
      <c r="L137" s="227">
        <v>0</v>
      </c>
      <c r="M137" s="262">
        <v>4</v>
      </c>
      <c r="N137" s="262">
        <v>2</v>
      </c>
      <c r="O137" s="262">
        <v>1</v>
      </c>
      <c r="P137" s="315">
        <v>2</v>
      </c>
      <c r="Q137" s="315">
        <v>5</v>
      </c>
      <c r="R137" s="227">
        <v>0</v>
      </c>
      <c r="S137" s="262">
        <v>8</v>
      </c>
      <c r="T137" s="262">
        <v>7</v>
      </c>
      <c r="U137" s="219">
        <v>0.27</v>
      </c>
      <c r="V137" s="219">
        <v>0.04</v>
      </c>
    </row>
    <row r="138" spans="1:22" x14ac:dyDescent="0.35">
      <c r="A138" s="121">
        <v>5</v>
      </c>
      <c r="B138" s="175" t="str">
        <f>VLOOKUP(A138,Control!$A$1:$B$18,2)</f>
        <v>Cwm Taf Morgannwg UHB, Prince Charles Hospital</v>
      </c>
      <c r="C138" s="315" t="s">
        <v>231</v>
      </c>
      <c r="D138" s="315">
        <v>2021</v>
      </c>
      <c r="E138" s="67" t="s">
        <v>199</v>
      </c>
      <c r="F138" s="45" t="s">
        <v>16</v>
      </c>
      <c r="G138" s="315">
        <v>11.96</v>
      </c>
      <c r="H138" s="315">
        <v>14.6</v>
      </c>
      <c r="I138" s="315">
        <v>7</v>
      </c>
      <c r="J138" s="315">
        <v>1</v>
      </c>
      <c r="K138" s="315">
        <v>4</v>
      </c>
      <c r="L138" s="227">
        <v>4</v>
      </c>
      <c r="M138" s="262">
        <v>16</v>
      </c>
      <c r="N138" s="262">
        <v>9</v>
      </c>
      <c r="O138" s="262">
        <v>17</v>
      </c>
      <c r="P138" s="315">
        <v>22</v>
      </c>
      <c r="Q138" s="315">
        <v>12</v>
      </c>
      <c r="R138" s="227">
        <v>2</v>
      </c>
      <c r="S138" s="262">
        <v>53</v>
      </c>
      <c r="T138" s="262">
        <v>36</v>
      </c>
      <c r="U138" s="219">
        <v>0.4</v>
      </c>
      <c r="V138" s="219">
        <v>0.22</v>
      </c>
    </row>
    <row r="139" spans="1:22" x14ac:dyDescent="0.35">
      <c r="A139" s="121">
        <v>6</v>
      </c>
      <c r="B139" s="175" t="str">
        <f>VLOOKUP(A139,Control!$A$1:$B$18,2)</f>
        <v>Hywel Dda UHB, Glangwilli Hospital</v>
      </c>
      <c r="C139" s="315" t="s">
        <v>231</v>
      </c>
      <c r="D139" s="315">
        <v>2021</v>
      </c>
      <c r="E139" s="67" t="s">
        <v>202</v>
      </c>
      <c r="F139" s="45" t="s">
        <v>16</v>
      </c>
      <c r="G139" s="315">
        <v>35</v>
      </c>
      <c r="H139" s="315">
        <v>38</v>
      </c>
      <c r="I139" s="315">
        <v>2</v>
      </c>
      <c r="J139" s="315">
        <v>0</v>
      </c>
      <c r="K139" s="315">
        <v>0</v>
      </c>
      <c r="L139" s="227">
        <v>0</v>
      </c>
      <c r="M139" s="262">
        <v>2</v>
      </c>
      <c r="N139" s="262">
        <v>0</v>
      </c>
      <c r="O139" s="262">
        <v>34</v>
      </c>
      <c r="P139" s="315">
        <v>20</v>
      </c>
      <c r="Q139" s="315">
        <v>3</v>
      </c>
      <c r="R139" s="227">
        <v>0</v>
      </c>
      <c r="S139" s="262">
        <v>57</v>
      </c>
      <c r="T139" s="262">
        <v>23</v>
      </c>
      <c r="U139" s="219">
        <v>0</v>
      </c>
      <c r="V139" s="219">
        <v>0</v>
      </c>
    </row>
    <row r="140" spans="1:22" x14ac:dyDescent="0.35">
      <c r="A140" s="121">
        <v>7</v>
      </c>
      <c r="B140" s="175" t="str">
        <f>VLOOKUP(A140,Control!$A$1:$B$18,2)</f>
        <v>Hywel Dda UHB, Withybush Hospital</v>
      </c>
      <c r="C140" s="315" t="s">
        <v>231</v>
      </c>
      <c r="D140" s="315">
        <v>2021</v>
      </c>
      <c r="E140" s="67" t="s">
        <v>203</v>
      </c>
      <c r="F140" s="45" t="s">
        <v>16</v>
      </c>
      <c r="G140" s="315">
        <v>24</v>
      </c>
      <c r="H140" s="315">
        <v>48</v>
      </c>
      <c r="I140" s="315">
        <v>4</v>
      </c>
      <c r="J140" s="315">
        <v>3</v>
      </c>
      <c r="K140" s="315">
        <v>1</v>
      </c>
      <c r="L140" s="227">
        <v>0</v>
      </c>
      <c r="M140" s="262">
        <v>8</v>
      </c>
      <c r="N140" s="262">
        <v>4</v>
      </c>
      <c r="O140" s="262">
        <v>14</v>
      </c>
      <c r="P140" s="315">
        <v>12</v>
      </c>
      <c r="Q140" s="315">
        <v>4</v>
      </c>
      <c r="R140" s="227">
        <v>5</v>
      </c>
      <c r="S140" s="262">
        <v>35</v>
      </c>
      <c r="T140" s="262">
        <v>21</v>
      </c>
      <c r="U140" s="219">
        <v>0</v>
      </c>
      <c r="V140" s="219">
        <v>0</v>
      </c>
    </row>
    <row r="141" spans="1:22" x14ac:dyDescent="0.35">
      <c r="A141" s="121">
        <v>8</v>
      </c>
      <c r="B141" s="175" t="str">
        <f>VLOOKUP(A141,Control!$A$1:$B$18,2)</f>
        <v>Swansea Bay UHB, Morriston / Singleton Hospitals</v>
      </c>
      <c r="C141" s="315" t="s">
        <v>231</v>
      </c>
      <c r="D141" s="315">
        <v>2021</v>
      </c>
      <c r="E141" s="67" t="s">
        <v>200</v>
      </c>
      <c r="F141" s="45" t="s">
        <v>16</v>
      </c>
      <c r="G141" s="315">
        <v>11</v>
      </c>
      <c r="H141" s="315">
        <v>17</v>
      </c>
      <c r="I141" s="315">
        <v>4</v>
      </c>
      <c r="J141" s="315">
        <v>0</v>
      </c>
      <c r="K141" s="315">
        <v>0</v>
      </c>
      <c r="L141" s="227">
        <v>0</v>
      </c>
      <c r="M141" s="262">
        <v>4</v>
      </c>
      <c r="N141" s="262">
        <v>0</v>
      </c>
      <c r="O141" s="262">
        <v>39</v>
      </c>
      <c r="P141" s="315">
        <v>39</v>
      </c>
      <c r="Q141" s="315">
        <v>4</v>
      </c>
      <c r="R141" s="227">
        <v>1</v>
      </c>
      <c r="S141" s="262">
        <v>83</v>
      </c>
      <c r="T141" s="262">
        <v>44</v>
      </c>
      <c r="U141" s="219" t="s">
        <v>193</v>
      </c>
      <c r="V141" s="219" t="s">
        <v>193</v>
      </c>
    </row>
    <row r="142" spans="1:22" x14ac:dyDescent="0.35">
      <c r="A142" s="121">
        <v>9</v>
      </c>
      <c r="B142" s="175" t="str">
        <f>VLOOKUP(A142,Control!$A$1:$B$18,2)</f>
        <v xml:space="preserve">Barnstaple, North Devon District Hospital </v>
      </c>
      <c r="C142" s="315"/>
      <c r="D142" s="315"/>
      <c r="E142" s="67"/>
      <c r="F142" s="45"/>
      <c r="G142" s="315" t="s">
        <v>193</v>
      </c>
      <c r="H142" s="315" t="s">
        <v>193</v>
      </c>
      <c r="I142" s="315" t="s">
        <v>193</v>
      </c>
      <c r="J142" s="315" t="s">
        <v>193</v>
      </c>
      <c r="K142" s="315" t="s">
        <v>193</v>
      </c>
      <c r="L142" s="227" t="s">
        <v>193</v>
      </c>
      <c r="M142" s="262" t="s">
        <v>193</v>
      </c>
      <c r="N142" s="262" t="s">
        <v>193</v>
      </c>
      <c r="O142" s="262" t="s">
        <v>193</v>
      </c>
      <c r="P142" s="315" t="s">
        <v>193</v>
      </c>
      <c r="Q142" s="315" t="s">
        <v>193</v>
      </c>
      <c r="R142" s="227" t="s">
        <v>193</v>
      </c>
      <c r="S142" s="262" t="s">
        <v>193</v>
      </c>
      <c r="T142" s="262" t="s">
        <v>193</v>
      </c>
      <c r="U142" s="219" t="s">
        <v>193</v>
      </c>
      <c r="V142" s="219" t="s">
        <v>193</v>
      </c>
    </row>
    <row r="143" spans="1:22" x14ac:dyDescent="0.35">
      <c r="A143" s="121">
        <v>10</v>
      </c>
      <c r="B143" s="175" t="str">
        <f>VLOOKUP(A143,Control!$A$1:$B$18,2)</f>
        <v xml:space="preserve">Bath, Royal United Hospital </v>
      </c>
      <c r="C143" s="315" t="s">
        <v>231</v>
      </c>
      <c r="D143" s="315">
        <v>2021</v>
      </c>
      <c r="E143" s="67" t="s">
        <v>83</v>
      </c>
      <c r="F143" s="45" t="s">
        <v>16</v>
      </c>
      <c r="G143" s="315">
        <v>24</v>
      </c>
      <c r="H143" s="315">
        <v>8</v>
      </c>
      <c r="I143" s="315">
        <v>10</v>
      </c>
      <c r="J143" s="315">
        <v>8</v>
      </c>
      <c r="K143" s="315">
        <v>0</v>
      </c>
      <c r="L143" s="227">
        <v>0</v>
      </c>
      <c r="M143" s="262">
        <v>18</v>
      </c>
      <c r="N143" s="262">
        <v>8</v>
      </c>
      <c r="O143" s="262">
        <v>24</v>
      </c>
      <c r="P143" s="315">
        <v>19</v>
      </c>
      <c r="Q143" s="315">
        <v>0</v>
      </c>
      <c r="R143" s="227">
        <v>0</v>
      </c>
      <c r="S143" s="262">
        <v>43</v>
      </c>
      <c r="T143" s="262">
        <v>19</v>
      </c>
      <c r="U143" s="219">
        <v>7.0000000000000007E-2</v>
      </c>
      <c r="V143" s="219">
        <v>7.0000000000000007E-2</v>
      </c>
    </row>
    <row r="144" spans="1:22" x14ac:dyDescent="0.35">
      <c r="A144" s="121">
        <v>11</v>
      </c>
      <c r="B144" s="175" t="str">
        <f>VLOOKUP(A144,Control!$A$1:$B$18,2)</f>
        <v>Bristol, Bristol Heart Institute / Bristol Royal Hospital for Children</v>
      </c>
      <c r="C144" s="315" t="s">
        <v>231</v>
      </c>
      <c r="D144" s="315">
        <v>2021</v>
      </c>
      <c r="E144" s="67" t="s">
        <v>81</v>
      </c>
      <c r="F144" s="45" t="s">
        <v>16</v>
      </c>
      <c r="G144" s="315">
        <v>69</v>
      </c>
      <c r="H144" s="315">
        <v>0</v>
      </c>
      <c r="I144" s="315">
        <v>551</v>
      </c>
      <c r="J144" s="315">
        <v>412</v>
      </c>
      <c r="K144" s="315">
        <v>325</v>
      </c>
      <c r="L144" s="227">
        <v>111</v>
      </c>
      <c r="M144" s="262">
        <v>1399</v>
      </c>
      <c r="N144" s="262">
        <v>848</v>
      </c>
      <c r="O144" s="262">
        <v>0</v>
      </c>
      <c r="P144" s="315">
        <v>0</v>
      </c>
      <c r="Q144" s="315">
        <v>0</v>
      </c>
      <c r="R144" s="227">
        <v>0</v>
      </c>
      <c r="S144" s="262">
        <v>0</v>
      </c>
      <c r="T144" s="262">
        <v>0</v>
      </c>
      <c r="U144" s="219">
        <v>0.09</v>
      </c>
      <c r="V144" s="219">
        <v>0</v>
      </c>
    </row>
    <row r="145" spans="1:22" x14ac:dyDescent="0.35">
      <c r="A145" s="121">
        <v>12</v>
      </c>
      <c r="B145" s="175" t="str">
        <f>VLOOKUP(A145,Control!$A$1:$B$18,2)</f>
        <v xml:space="preserve">Exeter, Royal Devon and Exeter Hospital </v>
      </c>
      <c r="C145" s="315" t="s">
        <v>231</v>
      </c>
      <c r="D145" s="315">
        <v>2021</v>
      </c>
      <c r="E145" s="67" t="s">
        <v>84</v>
      </c>
      <c r="F145" s="45" t="s">
        <v>16</v>
      </c>
      <c r="G145" s="315">
        <v>9</v>
      </c>
      <c r="H145" s="315">
        <v>12</v>
      </c>
      <c r="I145" s="315">
        <v>52</v>
      </c>
      <c r="J145" s="315">
        <v>47</v>
      </c>
      <c r="K145" s="315">
        <v>22</v>
      </c>
      <c r="L145" s="227">
        <v>65</v>
      </c>
      <c r="M145" s="262">
        <v>186</v>
      </c>
      <c r="N145" s="262">
        <v>134</v>
      </c>
      <c r="O145" s="262">
        <v>34</v>
      </c>
      <c r="P145" s="315">
        <v>28</v>
      </c>
      <c r="Q145" s="315">
        <v>25</v>
      </c>
      <c r="R145" s="227">
        <v>40</v>
      </c>
      <c r="S145" s="262">
        <v>127</v>
      </c>
      <c r="T145" s="262">
        <v>93</v>
      </c>
      <c r="U145" s="219">
        <v>0.09</v>
      </c>
      <c r="V145" s="219">
        <v>0.06</v>
      </c>
    </row>
    <row r="146" spans="1:22" x14ac:dyDescent="0.35">
      <c r="A146" s="121">
        <v>13</v>
      </c>
      <c r="B146" s="175" t="str">
        <f>VLOOKUP(A146,Control!$A$1:$B$18,2)</f>
        <v>Gloucester, Gloucestershire Hospitals</v>
      </c>
      <c r="C146" s="315" t="s">
        <v>231</v>
      </c>
      <c r="D146" s="315">
        <v>2021</v>
      </c>
      <c r="E146" s="67" t="s">
        <v>74</v>
      </c>
      <c r="F146" s="45" t="s">
        <v>16</v>
      </c>
      <c r="G146" s="315">
        <v>11</v>
      </c>
      <c r="H146" s="315">
        <v>15</v>
      </c>
      <c r="I146" s="315">
        <v>60</v>
      </c>
      <c r="J146" s="315">
        <v>28</v>
      </c>
      <c r="K146" s="315">
        <v>108</v>
      </c>
      <c r="L146" s="227">
        <v>176</v>
      </c>
      <c r="M146" s="262">
        <v>372</v>
      </c>
      <c r="N146" s="262">
        <v>312</v>
      </c>
      <c r="O146" s="262">
        <v>43</v>
      </c>
      <c r="P146" s="315">
        <v>43</v>
      </c>
      <c r="Q146" s="315">
        <v>61</v>
      </c>
      <c r="R146" s="227">
        <v>72</v>
      </c>
      <c r="S146" s="262">
        <v>219</v>
      </c>
      <c r="T146" s="262">
        <v>176</v>
      </c>
      <c r="U146" s="219">
        <v>0.15</v>
      </c>
      <c r="V146" s="219">
        <v>0.13</v>
      </c>
    </row>
    <row r="147" spans="1:22" x14ac:dyDescent="0.35">
      <c r="A147" s="121">
        <v>14</v>
      </c>
      <c r="B147" s="175" t="str">
        <f>VLOOKUP(A147,Control!$A$1:$B$18,2)</f>
        <v xml:space="preserve">Plymouth, Derriford Hospital </v>
      </c>
      <c r="C147" s="121"/>
      <c r="D147" s="121"/>
      <c r="E147" s="67"/>
      <c r="F147" s="45"/>
      <c r="G147" s="255" t="s">
        <v>193</v>
      </c>
      <c r="H147" s="255" t="s">
        <v>193</v>
      </c>
      <c r="I147" s="255" t="s">
        <v>193</v>
      </c>
      <c r="J147" s="255" t="s">
        <v>193</v>
      </c>
      <c r="K147" s="255" t="s">
        <v>193</v>
      </c>
      <c r="L147" s="227" t="s">
        <v>193</v>
      </c>
      <c r="M147" s="256" t="s">
        <v>193</v>
      </c>
      <c r="N147" s="256" t="s">
        <v>193</v>
      </c>
      <c r="O147" s="256" t="s">
        <v>193</v>
      </c>
      <c r="P147" s="255" t="s">
        <v>193</v>
      </c>
      <c r="Q147" s="255" t="s">
        <v>193</v>
      </c>
      <c r="R147" s="227" t="s">
        <v>193</v>
      </c>
      <c r="S147" s="256" t="s">
        <v>193</v>
      </c>
      <c r="T147" s="256" t="s">
        <v>193</v>
      </c>
      <c r="U147" s="219" t="s">
        <v>193</v>
      </c>
      <c r="V147" s="219" t="s">
        <v>193</v>
      </c>
    </row>
    <row r="148" spans="1:22" x14ac:dyDescent="0.35">
      <c r="A148" s="121">
        <v>15</v>
      </c>
      <c r="B148" s="175" t="str">
        <f>VLOOKUP(A148,Control!$A$1:$B$18,2)</f>
        <v xml:space="preserve">Swindon, Great Weston Hospital </v>
      </c>
      <c r="C148" s="315" t="s">
        <v>231</v>
      </c>
      <c r="D148" s="315">
        <v>2021</v>
      </c>
      <c r="E148" s="67" t="s">
        <v>60</v>
      </c>
      <c r="F148" s="45" t="s">
        <v>16</v>
      </c>
      <c r="G148" s="315">
        <v>7</v>
      </c>
      <c r="H148" s="315">
        <v>8</v>
      </c>
      <c r="I148" s="315">
        <v>0</v>
      </c>
      <c r="J148" s="315">
        <v>0</v>
      </c>
      <c r="K148" s="315">
        <v>0</v>
      </c>
      <c r="L148" s="227">
        <v>0</v>
      </c>
      <c r="M148" s="262">
        <v>0</v>
      </c>
      <c r="N148" s="262">
        <v>0</v>
      </c>
      <c r="O148" s="262">
        <v>38</v>
      </c>
      <c r="P148" s="315">
        <v>20</v>
      </c>
      <c r="Q148" s="315">
        <v>0</v>
      </c>
      <c r="R148" s="227">
        <v>0</v>
      </c>
      <c r="S148" s="262">
        <v>58</v>
      </c>
      <c r="T148" s="262">
        <v>20</v>
      </c>
      <c r="U148" s="219">
        <v>0.08</v>
      </c>
      <c r="V148" s="219">
        <v>0.05</v>
      </c>
    </row>
    <row r="149" spans="1:22" x14ac:dyDescent="0.35">
      <c r="A149" s="121">
        <v>16</v>
      </c>
      <c r="B149" s="175" t="str">
        <f>VLOOKUP(A149,Control!$A$1:$B$18,2)</f>
        <v xml:space="preserve">Taunton, Musgrove Park Hospital </v>
      </c>
      <c r="C149" s="315" t="s">
        <v>231</v>
      </c>
      <c r="D149" s="315">
        <v>2021</v>
      </c>
      <c r="E149" s="67" t="s">
        <v>75</v>
      </c>
      <c r="F149" s="45" t="s">
        <v>16</v>
      </c>
      <c r="G149" s="315">
        <v>43</v>
      </c>
      <c r="H149" s="315">
        <v>43</v>
      </c>
      <c r="I149" s="315">
        <v>48</v>
      </c>
      <c r="J149" s="315">
        <v>12</v>
      </c>
      <c r="K149" s="315">
        <v>0</v>
      </c>
      <c r="L149" s="227">
        <v>0</v>
      </c>
      <c r="M149" s="262">
        <v>60</v>
      </c>
      <c r="N149" s="262">
        <v>12</v>
      </c>
      <c r="O149" s="262">
        <v>17</v>
      </c>
      <c r="P149" s="315">
        <v>25</v>
      </c>
      <c r="Q149" s="315">
        <v>32</v>
      </c>
      <c r="R149" s="227">
        <v>11</v>
      </c>
      <c r="S149" s="262">
        <v>85</v>
      </c>
      <c r="T149" s="262">
        <v>68</v>
      </c>
      <c r="U149" s="219">
        <v>0.08</v>
      </c>
      <c r="V149" s="219">
        <v>0.09</v>
      </c>
    </row>
    <row r="150" spans="1:22" x14ac:dyDescent="0.35">
      <c r="A150" s="121">
        <v>17</v>
      </c>
      <c r="B150" s="175" t="str">
        <f>VLOOKUP(A150,Control!$A$1:$B$18,2)</f>
        <v xml:space="preserve">Torquay, Torbay General District Hospital </v>
      </c>
      <c r="C150" s="315" t="s">
        <v>231</v>
      </c>
      <c r="D150" s="315">
        <v>2021</v>
      </c>
      <c r="E150" s="67" t="s">
        <v>70</v>
      </c>
      <c r="F150" s="45" t="s">
        <v>16</v>
      </c>
      <c r="G150" s="315">
        <v>4</v>
      </c>
      <c r="H150" s="315">
        <v>5</v>
      </c>
      <c r="I150" s="315">
        <v>46</v>
      </c>
      <c r="J150" s="315">
        <v>46</v>
      </c>
      <c r="K150" s="315">
        <v>1</v>
      </c>
      <c r="L150" s="227">
        <v>1</v>
      </c>
      <c r="M150" s="262">
        <v>94</v>
      </c>
      <c r="N150" s="262">
        <v>48</v>
      </c>
      <c r="O150" s="262">
        <v>20</v>
      </c>
      <c r="P150" s="315">
        <v>47</v>
      </c>
      <c r="Q150" s="315">
        <v>54</v>
      </c>
      <c r="R150" s="227">
        <v>17</v>
      </c>
      <c r="S150" s="262">
        <v>138</v>
      </c>
      <c r="T150" s="262">
        <v>118</v>
      </c>
      <c r="U150" s="219">
        <v>0.02</v>
      </c>
      <c r="V150" s="219">
        <v>0.02</v>
      </c>
    </row>
    <row r="151" spans="1:22" x14ac:dyDescent="0.35">
      <c r="A151" s="121">
        <v>18</v>
      </c>
      <c r="B151" s="178" t="str">
        <f>VLOOKUP(A151,Control!$A$1:$B$18,2)</f>
        <v xml:space="preserve">Truro, Royal Cornwall Hospital </v>
      </c>
      <c r="C151" s="315" t="s">
        <v>231</v>
      </c>
      <c r="D151" s="315">
        <v>2021</v>
      </c>
      <c r="E151" s="67" t="s">
        <v>87</v>
      </c>
      <c r="F151" s="45" t="s">
        <v>16</v>
      </c>
      <c r="G151" s="315">
        <v>9</v>
      </c>
      <c r="H151" s="315">
        <v>8</v>
      </c>
      <c r="I151" s="315">
        <v>10</v>
      </c>
      <c r="J151" s="315">
        <v>0</v>
      </c>
      <c r="K151" s="315">
        <v>0</v>
      </c>
      <c r="L151" s="227">
        <v>0</v>
      </c>
      <c r="M151" s="262">
        <v>10</v>
      </c>
      <c r="N151" s="262">
        <v>0</v>
      </c>
      <c r="O151" s="262">
        <v>39</v>
      </c>
      <c r="P151" s="315">
        <v>31</v>
      </c>
      <c r="Q151" s="315">
        <v>0</v>
      </c>
      <c r="R151" s="227">
        <v>0</v>
      </c>
      <c r="S151" s="262">
        <v>70</v>
      </c>
      <c r="T151" s="262">
        <v>31</v>
      </c>
      <c r="U151" s="219">
        <v>0.11</v>
      </c>
      <c r="V151" s="219">
        <v>0.04</v>
      </c>
    </row>
    <row r="152" spans="1:22" x14ac:dyDescent="0.35">
      <c r="C152" s="58"/>
      <c r="D152" s="58"/>
      <c r="E152" s="6" t="str">
        <f t="shared" ref="E152:V152" ca="1" si="5">OFFSET(E134,PaedChoice-1,0)</f>
        <v>Gloucester, Gloucestershire Hospitals</v>
      </c>
      <c r="F152" s="6" t="str">
        <f t="shared" ca="1" si="5"/>
        <v xml:space="preserve">Paediatrics </v>
      </c>
      <c r="G152" s="5">
        <f t="shared" ca="1" si="5"/>
        <v>11</v>
      </c>
      <c r="H152" s="5">
        <f t="shared" ca="1" si="5"/>
        <v>15</v>
      </c>
      <c r="I152" s="5">
        <f t="shared" ca="1" si="5"/>
        <v>60</v>
      </c>
      <c r="J152" s="5">
        <f t="shared" ca="1" si="5"/>
        <v>28</v>
      </c>
      <c r="K152" s="5">
        <f t="shared" ca="1" si="5"/>
        <v>108</v>
      </c>
      <c r="L152" s="5">
        <f t="shared" ca="1" si="5"/>
        <v>176</v>
      </c>
      <c r="M152" s="5">
        <f t="shared" ca="1" si="5"/>
        <v>372</v>
      </c>
      <c r="N152" s="5">
        <f t="shared" ca="1" si="5"/>
        <v>312</v>
      </c>
      <c r="O152" s="5">
        <f t="shared" ca="1" si="5"/>
        <v>43</v>
      </c>
      <c r="P152" s="5">
        <f t="shared" ca="1" si="5"/>
        <v>43</v>
      </c>
      <c r="Q152" s="5">
        <f t="shared" ca="1" si="5"/>
        <v>61</v>
      </c>
      <c r="R152" s="5">
        <f t="shared" ca="1" si="5"/>
        <v>72</v>
      </c>
      <c r="S152" s="5">
        <f t="shared" ca="1" si="5"/>
        <v>219</v>
      </c>
      <c r="T152" s="5">
        <f t="shared" ca="1" si="5"/>
        <v>176</v>
      </c>
      <c r="U152" s="271">
        <f t="shared" ca="1" si="5"/>
        <v>0.15</v>
      </c>
      <c r="V152" s="271">
        <f t="shared" ca="1" si="5"/>
        <v>0.13</v>
      </c>
    </row>
    <row r="153" spans="1:22" ht="21" x14ac:dyDescent="0.35">
      <c r="A153" s="43"/>
      <c r="B153" s="43"/>
      <c r="C153" s="262"/>
      <c r="D153" s="119"/>
      <c r="E153" s="58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</row>
    <row r="154" spans="1:22" ht="21" x14ac:dyDescent="0.35">
      <c r="A154" s="313" t="s">
        <v>9</v>
      </c>
      <c r="B154" s="314"/>
      <c r="C154" s="314"/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/>
      <c r="R154" s="314"/>
      <c r="S154" s="314"/>
      <c r="T154" s="314"/>
      <c r="U154" s="314"/>
      <c r="V154" s="314"/>
    </row>
    <row r="155" spans="1:22" ht="21" x14ac:dyDescent="0.35">
      <c r="A155" s="69" t="s">
        <v>89</v>
      </c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</row>
    <row r="156" spans="1:22" x14ac:dyDescent="0.35">
      <c r="B156" s="1">
        <v>2</v>
      </c>
      <c r="C156" s="1">
        <v>3</v>
      </c>
      <c r="D156" s="1">
        <v>4</v>
      </c>
      <c r="E156" s="1">
        <v>5</v>
      </c>
      <c r="F156" s="1">
        <v>6</v>
      </c>
      <c r="G156" s="1">
        <v>7</v>
      </c>
      <c r="H156" s="1">
        <v>8</v>
      </c>
      <c r="I156" s="1">
        <v>9</v>
      </c>
      <c r="J156" s="1">
        <v>10</v>
      </c>
      <c r="K156" s="1">
        <v>11</v>
      </c>
      <c r="L156" s="1">
        <v>12</v>
      </c>
      <c r="M156" s="1">
        <v>13</v>
      </c>
      <c r="N156" s="1">
        <v>14</v>
      </c>
      <c r="O156" s="1">
        <v>15</v>
      </c>
      <c r="P156" s="1">
        <v>16</v>
      </c>
      <c r="Q156" s="1">
        <v>17</v>
      </c>
      <c r="R156" s="1">
        <v>18</v>
      </c>
      <c r="S156" s="1">
        <v>19</v>
      </c>
      <c r="T156" s="1">
        <v>20</v>
      </c>
      <c r="U156" s="1">
        <v>21</v>
      </c>
      <c r="V156" s="1">
        <v>22</v>
      </c>
    </row>
    <row r="157" spans="1:22" x14ac:dyDescent="0.35">
      <c r="A157" s="121"/>
      <c r="B157" s="121"/>
      <c r="C157" s="494" t="s">
        <v>139</v>
      </c>
      <c r="D157" s="494" t="s">
        <v>140</v>
      </c>
      <c r="E157" s="495" t="s">
        <v>0</v>
      </c>
      <c r="F157" s="494" t="s">
        <v>141</v>
      </c>
      <c r="G157" s="494" t="s">
        <v>47</v>
      </c>
      <c r="H157" s="494"/>
      <c r="I157" s="494" t="s">
        <v>48</v>
      </c>
      <c r="J157" s="494"/>
      <c r="K157" s="494"/>
      <c r="L157" s="494"/>
      <c r="M157" s="494"/>
      <c r="N157" s="494"/>
      <c r="O157" s="494"/>
      <c r="P157" s="494"/>
      <c r="Q157" s="494"/>
      <c r="R157" s="494"/>
      <c r="S157" s="494"/>
      <c r="T157" s="494"/>
      <c r="U157" s="494" t="s">
        <v>46</v>
      </c>
      <c r="V157" s="494"/>
    </row>
    <row r="158" spans="1:22" x14ac:dyDescent="0.35">
      <c r="A158" s="121"/>
      <c r="B158" s="121"/>
      <c r="C158" s="494"/>
      <c r="D158" s="494"/>
      <c r="E158" s="495"/>
      <c r="F158" s="494"/>
      <c r="G158" s="494" t="s">
        <v>2</v>
      </c>
      <c r="H158" s="494" t="s">
        <v>3</v>
      </c>
      <c r="I158" s="494" t="s">
        <v>2</v>
      </c>
      <c r="J158" s="494"/>
      <c r="K158" s="494"/>
      <c r="L158" s="494"/>
      <c r="M158" s="494"/>
      <c r="N158" s="494"/>
      <c r="O158" s="494" t="s">
        <v>45</v>
      </c>
      <c r="P158" s="494"/>
      <c r="Q158" s="494"/>
      <c r="R158" s="494"/>
      <c r="S158" s="494"/>
      <c r="T158" s="494"/>
      <c r="U158" s="494" t="s">
        <v>2</v>
      </c>
      <c r="V158" s="494" t="s">
        <v>45</v>
      </c>
    </row>
    <row r="159" spans="1:22" ht="29" x14ac:dyDescent="0.35">
      <c r="A159" s="121"/>
      <c r="B159" s="121"/>
      <c r="C159" s="494"/>
      <c r="D159" s="494"/>
      <c r="E159" s="495"/>
      <c r="F159" s="494"/>
      <c r="G159" s="494"/>
      <c r="H159" s="494"/>
      <c r="I159" s="121" t="s">
        <v>142</v>
      </c>
      <c r="J159" s="121" t="s">
        <v>41</v>
      </c>
      <c r="K159" s="121" t="s">
        <v>42</v>
      </c>
      <c r="L159" s="44" t="s">
        <v>43</v>
      </c>
      <c r="M159" s="121" t="s">
        <v>181</v>
      </c>
      <c r="N159" s="121" t="s">
        <v>144</v>
      </c>
      <c r="O159" s="121" t="s">
        <v>142</v>
      </c>
      <c r="P159" s="121" t="s">
        <v>41</v>
      </c>
      <c r="Q159" s="121" t="s">
        <v>42</v>
      </c>
      <c r="R159" s="44" t="s">
        <v>43</v>
      </c>
      <c r="S159" s="121" t="s">
        <v>143</v>
      </c>
      <c r="T159" s="121" t="s">
        <v>145</v>
      </c>
      <c r="U159" s="494"/>
      <c r="V159" s="494"/>
    </row>
    <row r="160" spans="1:22" x14ac:dyDescent="0.35">
      <c r="A160" s="121">
        <v>1</v>
      </c>
      <c r="B160" s="175" t="str">
        <f>VLOOKUP(A160,Control!$A$1:$B$18,2)</f>
        <v>Aneurin Bevan UHB, Nevill Hall &amp; Royal Gwent Hospitals</v>
      </c>
      <c r="C160" s="121"/>
      <c r="D160" s="121"/>
      <c r="E160" s="67"/>
      <c r="F160" s="45"/>
      <c r="G160" s="255" t="s">
        <v>193</v>
      </c>
      <c r="H160" s="255" t="s">
        <v>193</v>
      </c>
      <c r="I160" s="255" t="s">
        <v>193</v>
      </c>
      <c r="J160" s="255" t="s">
        <v>193</v>
      </c>
      <c r="K160" s="255" t="s">
        <v>193</v>
      </c>
      <c r="L160" s="227" t="s">
        <v>193</v>
      </c>
      <c r="M160" s="256" t="s">
        <v>193</v>
      </c>
      <c r="N160" s="256" t="s">
        <v>193</v>
      </c>
      <c r="O160" s="256" t="s">
        <v>193</v>
      </c>
      <c r="P160" s="255" t="s">
        <v>193</v>
      </c>
      <c r="Q160" s="255" t="s">
        <v>193</v>
      </c>
      <c r="R160" s="227" t="s">
        <v>193</v>
      </c>
      <c r="S160" s="256" t="s">
        <v>193</v>
      </c>
      <c r="T160" s="256" t="s">
        <v>193</v>
      </c>
      <c r="U160" s="219" t="s">
        <v>193</v>
      </c>
      <c r="V160" s="219" t="s">
        <v>193</v>
      </c>
    </row>
    <row r="161" spans="1:22" x14ac:dyDescent="0.35">
      <c r="A161" s="121">
        <v>2</v>
      </c>
      <c r="B161" s="175" t="str">
        <f>VLOOKUP(A161,Control!$A$1:$B$18,2)</f>
        <v>Cardiff &amp; Vale UHB, Noah’s Ark / University Hospital Wales</v>
      </c>
      <c r="C161" s="121"/>
      <c r="D161" s="121"/>
      <c r="E161" s="67"/>
      <c r="F161" s="45"/>
      <c r="G161" s="255" t="s">
        <v>193</v>
      </c>
      <c r="H161" s="255" t="s">
        <v>193</v>
      </c>
      <c r="I161" s="255" t="s">
        <v>193</v>
      </c>
      <c r="J161" s="255" t="s">
        <v>193</v>
      </c>
      <c r="K161" s="255" t="s">
        <v>193</v>
      </c>
      <c r="L161" s="227" t="s">
        <v>193</v>
      </c>
      <c r="M161" s="256" t="s">
        <v>193</v>
      </c>
      <c r="N161" s="256" t="s">
        <v>193</v>
      </c>
      <c r="O161" s="256" t="s">
        <v>193</v>
      </c>
      <c r="P161" s="255" t="s">
        <v>193</v>
      </c>
      <c r="Q161" s="255" t="s">
        <v>193</v>
      </c>
      <c r="R161" s="227" t="s">
        <v>193</v>
      </c>
      <c r="S161" s="256" t="s">
        <v>193</v>
      </c>
      <c r="T161" s="256" t="s">
        <v>193</v>
      </c>
      <c r="U161" s="219" t="s">
        <v>193</v>
      </c>
      <c r="V161" s="219" t="s">
        <v>193</v>
      </c>
    </row>
    <row r="162" spans="1:22" x14ac:dyDescent="0.35">
      <c r="A162" s="121">
        <v>3</v>
      </c>
      <c r="B162" s="175" t="str">
        <f>VLOOKUP(A162,Control!$A$1:$B$18,2)</f>
        <v>Cwm Taf Morgannwg UHB, Princess of Wales Hospital</v>
      </c>
      <c r="C162" s="121"/>
      <c r="D162" s="121"/>
      <c r="E162" s="67"/>
      <c r="F162" s="45"/>
      <c r="G162" s="255" t="s">
        <v>193</v>
      </c>
      <c r="H162" s="255" t="s">
        <v>193</v>
      </c>
      <c r="I162" s="255" t="s">
        <v>193</v>
      </c>
      <c r="J162" s="255" t="s">
        <v>193</v>
      </c>
      <c r="K162" s="255" t="s">
        <v>193</v>
      </c>
      <c r="L162" s="227" t="s">
        <v>193</v>
      </c>
      <c r="M162" s="256" t="s">
        <v>193</v>
      </c>
      <c r="N162" s="256" t="s">
        <v>193</v>
      </c>
      <c r="O162" s="256" t="s">
        <v>193</v>
      </c>
      <c r="P162" s="255" t="s">
        <v>193</v>
      </c>
      <c r="Q162" s="255" t="s">
        <v>193</v>
      </c>
      <c r="R162" s="227" t="s">
        <v>193</v>
      </c>
      <c r="S162" s="256" t="s">
        <v>193</v>
      </c>
      <c r="T162" s="256" t="s">
        <v>193</v>
      </c>
      <c r="U162" s="219" t="s">
        <v>193</v>
      </c>
      <c r="V162" s="219" t="s">
        <v>193</v>
      </c>
    </row>
    <row r="163" spans="1:22" x14ac:dyDescent="0.35">
      <c r="A163" s="121">
        <v>4</v>
      </c>
      <c r="B163" s="175" t="str">
        <f>VLOOKUP(A163,Control!$A$1:$B$18,2)</f>
        <v xml:space="preserve">Cwm Taf Morgannwg UHB, Royal Glamorgan Hospital </v>
      </c>
      <c r="C163" s="121"/>
      <c r="D163" s="121"/>
      <c r="E163" s="67"/>
      <c r="F163" s="45"/>
      <c r="G163" s="255" t="s">
        <v>193</v>
      </c>
      <c r="H163" s="255" t="s">
        <v>193</v>
      </c>
      <c r="I163" s="255" t="s">
        <v>193</v>
      </c>
      <c r="J163" s="255" t="s">
        <v>193</v>
      </c>
      <c r="K163" s="255" t="s">
        <v>193</v>
      </c>
      <c r="L163" s="227" t="s">
        <v>193</v>
      </c>
      <c r="M163" s="256" t="s">
        <v>193</v>
      </c>
      <c r="N163" s="256" t="s">
        <v>193</v>
      </c>
      <c r="O163" s="256" t="s">
        <v>193</v>
      </c>
      <c r="P163" s="255" t="s">
        <v>193</v>
      </c>
      <c r="Q163" s="255" t="s">
        <v>193</v>
      </c>
      <c r="R163" s="227" t="s">
        <v>193</v>
      </c>
      <c r="S163" s="256" t="s">
        <v>193</v>
      </c>
      <c r="T163" s="256" t="s">
        <v>193</v>
      </c>
      <c r="U163" s="219" t="s">
        <v>193</v>
      </c>
      <c r="V163" s="219" t="s">
        <v>193</v>
      </c>
    </row>
    <row r="164" spans="1:22" x14ac:dyDescent="0.35">
      <c r="A164" s="121">
        <v>5</v>
      </c>
      <c r="B164" s="175" t="str">
        <f>VLOOKUP(A164,Control!$A$1:$B$18,2)</f>
        <v>Cwm Taf Morgannwg UHB, Prince Charles Hospital</v>
      </c>
      <c r="C164" s="121"/>
      <c r="D164" s="121"/>
      <c r="E164" s="67"/>
      <c r="F164" s="45"/>
      <c r="G164" s="255" t="s">
        <v>193</v>
      </c>
      <c r="H164" s="255" t="s">
        <v>193</v>
      </c>
      <c r="I164" s="255" t="s">
        <v>193</v>
      </c>
      <c r="J164" s="255" t="s">
        <v>193</v>
      </c>
      <c r="K164" s="255" t="s">
        <v>193</v>
      </c>
      <c r="L164" s="227" t="s">
        <v>193</v>
      </c>
      <c r="M164" s="256" t="s">
        <v>193</v>
      </c>
      <c r="N164" s="256" t="s">
        <v>193</v>
      </c>
      <c r="O164" s="256" t="s">
        <v>193</v>
      </c>
      <c r="P164" s="255" t="s">
        <v>193</v>
      </c>
      <c r="Q164" s="255" t="s">
        <v>193</v>
      </c>
      <c r="R164" s="227" t="s">
        <v>193</v>
      </c>
      <c r="S164" s="256" t="s">
        <v>193</v>
      </c>
      <c r="T164" s="256" t="s">
        <v>193</v>
      </c>
      <c r="U164" s="219" t="s">
        <v>193</v>
      </c>
      <c r="V164" s="219" t="s">
        <v>193</v>
      </c>
    </row>
    <row r="165" spans="1:22" x14ac:dyDescent="0.35">
      <c r="A165" s="121">
        <v>6</v>
      </c>
      <c r="B165" s="175" t="str">
        <f>VLOOKUP(A165,Control!$A$1:$B$18,2)</f>
        <v>Hywel Dda UHB, Glangwilli Hospital</v>
      </c>
      <c r="C165" s="121"/>
      <c r="D165" s="121"/>
      <c r="E165" s="67"/>
      <c r="F165" s="45"/>
      <c r="G165" s="255" t="s">
        <v>193</v>
      </c>
      <c r="H165" s="255" t="s">
        <v>193</v>
      </c>
      <c r="I165" s="255" t="s">
        <v>193</v>
      </c>
      <c r="J165" s="255" t="s">
        <v>193</v>
      </c>
      <c r="K165" s="255" t="s">
        <v>193</v>
      </c>
      <c r="L165" s="227" t="s">
        <v>193</v>
      </c>
      <c r="M165" s="256" t="s">
        <v>193</v>
      </c>
      <c r="N165" s="256" t="s">
        <v>193</v>
      </c>
      <c r="O165" s="256" t="s">
        <v>193</v>
      </c>
      <c r="P165" s="255" t="s">
        <v>193</v>
      </c>
      <c r="Q165" s="255" t="s">
        <v>193</v>
      </c>
      <c r="R165" s="227" t="s">
        <v>193</v>
      </c>
      <c r="S165" s="256" t="s">
        <v>193</v>
      </c>
      <c r="T165" s="256" t="s">
        <v>193</v>
      </c>
      <c r="U165" s="219" t="s">
        <v>193</v>
      </c>
      <c r="V165" s="219" t="s">
        <v>193</v>
      </c>
    </row>
    <row r="166" spans="1:22" x14ac:dyDescent="0.35">
      <c r="A166" s="121">
        <v>7</v>
      </c>
      <c r="B166" s="175" t="str">
        <f>VLOOKUP(A166,Control!$A$1:$B$18,2)</f>
        <v>Hywel Dda UHB, Withybush Hospital</v>
      </c>
      <c r="C166" s="121"/>
      <c r="D166" s="121"/>
      <c r="E166" s="67"/>
      <c r="F166" s="45"/>
      <c r="G166" s="255" t="s">
        <v>193</v>
      </c>
      <c r="H166" s="255" t="s">
        <v>193</v>
      </c>
      <c r="I166" s="255" t="s">
        <v>193</v>
      </c>
      <c r="J166" s="255" t="s">
        <v>193</v>
      </c>
      <c r="K166" s="255" t="s">
        <v>193</v>
      </c>
      <c r="L166" s="227" t="s">
        <v>193</v>
      </c>
      <c r="M166" s="256" t="s">
        <v>193</v>
      </c>
      <c r="N166" s="256" t="s">
        <v>193</v>
      </c>
      <c r="O166" s="256" t="s">
        <v>193</v>
      </c>
      <c r="P166" s="255" t="s">
        <v>193</v>
      </c>
      <c r="Q166" s="255" t="s">
        <v>193</v>
      </c>
      <c r="R166" s="227" t="s">
        <v>193</v>
      </c>
      <c r="S166" s="256" t="s">
        <v>193</v>
      </c>
      <c r="T166" s="256" t="s">
        <v>193</v>
      </c>
      <c r="U166" s="219" t="s">
        <v>193</v>
      </c>
      <c r="V166" s="219" t="s">
        <v>193</v>
      </c>
    </row>
    <row r="167" spans="1:22" x14ac:dyDescent="0.35">
      <c r="A167" s="121">
        <v>8</v>
      </c>
      <c r="B167" s="175" t="str">
        <f>VLOOKUP(A167,Control!$A$1:$B$18,2)</f>
        <v>Swansea Bay UHB, Morriston / Singleton Hospitals</v>
      </c>
      <c r="C167" s="121"/>
      <c r="D167" s="121"/>
      <c r="E167" s="67"/>
      <c r="F167" s="45"/>
      <c r="G167" s="255" t="s">
        <v>193</v>
      </c>
      <c r="H167" s="255" t="s">
        <v>193</v>
      </c>
      <c r="I167" s="255" t="s">
        <v>193</v>
      </c>
      <c r="J167" s="255" t="s">
        <v>193</v>
      </c>
      <c r="K167" s="255" t="s">
        <v>193</v>
      </c>
      <c r="L167" s="227" t="s">
        <v>193</v>
      </c>
      <c r="M167" s="256" t="s">
        <v>193</v>
      </c>
      <c r="N167" s="256" t="s">
        <v>193</v>
      </c>
      <c r="O167" s="256" t="s">
        <v>193</v>
      </c>
      <c r="P167" s="255" t="s">
        <v>193</v>
      </c>
      <c r="Q167" s="255" t="s">
        <v>193</v>
      </c>
      <c r="R167" s="227" t="s">
        <v>193</v>
      </c>
      <c r="S167" s="256" t="s">
        <v>193</v>
      </c>
      <c r="T167" s="256" t="s">
        <v>193</v>
      </c>
      <c r="U167" s="219" t="s">
        <v>193</v>
      </c>
      <c r="V167" s="219" t="s">
        <v>193</v>
      </c>
    </row>
    <row r="168" spans="1:22" x14ac:dyDescent="0.35">
      <c r="A168" s="121">
        <v>9</v>
      </c>
      <c r="B168" s="175" t="str">
        <f>VLOOKUP(A168,Control!$A$1:$B$18,2)</f>
        <v xml:space="preserve">Barnstaple, North Devon District Hospital </v>
      </c>
      <c r="C168" s="121"/>
      <c r="D168" s="121"/>
      <c r="E168" s="67"/>
      <c r="F168" s="45"/>
      <c r="G168" s="255" t="s">
        <v>193</v>
      </c>
      <c r="H168" s="255" t="s">
        <v>193</v>
      </c>
      <c r="I168" s="255" t="s">
        <v>193</v>
      </c>
      <c r="J168" s="255" t="s">
        <v>193</v>
      </c>
      <c r="K168" s="255" t="s">
        <v>193</v>
      </c>
      <c r="L168" s="227" t="s">
        <v>193</v>
      </c>
      <c r="M168" s="256" t="s">
        <v>193</v>
      </c>
      <c r="N168" s="256" t="s">
        <v>193</v>
      </c>
      <c r="O168" s="256" t="s">
        <v>193</v>
      </c>
      <c r="P168" s="255" t="s">
        <v>193</v>
      </c>
      <c r="Q168" s="255" t="s">
        <v>193</v>
      </c>
      <c r="R168" s="227" t="s">
        <v>193</v>
      </c>
      <c r="S168" s="256" t="s">
        <v>193</v>
      </c>
      <c r="T168" s="256" t="s">
        <v>193</v>
      </c>
      <c r="U168" s="219" t="s">
        <v>193</v>
      </c>
      <c r="V168" s="219" t="s">
        <v>193</v>
      </c>
    </row>
    <row r="169" spans="1:22" x14ac:dyDescent="0.35">
      <c r="A169" s="121">
        <v>10</v>
      </c>
      <c r="B169" s="175" t="str">
        <f>VLOOKUP(A169,Control!$A$1:$B$18,2)</f>
        <v xml:space="preserve">Bath, Royal United Hospital </v>
      </c>
      <c r="C169" s="121"/>
      <c r="D169" s="121"/>
      <c r="E169" s="67"/>
      <c r="F169" s="45"/>
      <c r="G169" s="255" t="s">
        <v>193</v>
      </c>
      <c r="H169" s="255" t="s">
        <v>193</v>
      </c>
      <c r="I169" s="255" t="s">
        <v>193</v>
      </c>
      <c r="J169" s="255" t="s">
        <v>193</v>
      </c>
      <c r="K169" s="255" t="s">
        <v>193</v>
      </c>
      <c r="L169" s="227" t="s">
        <v>193</v>
      </c>
      <c r="M169" s="256" t="s">
        <v>193</v>
      </c>
      <c r="N169" s="256" t="s">
        <v>193</v>
      </c>
      <c r="O169" s="256" t="s">
        <v>193</v>
      </c>
      <c r="P169" s="255" t="s">
        <v>193</v>
      </c>
      <c r="Q169" s="255" t="s">
        <v>193</v>
      </c>
      <c r="R169" s="227" t="s">
        <v>193</v>
      </c>
      <c r="S169" s="256" t="s">
        <v>193</v>
      </c>
      <c r="T169" s="256" t="s">
        <v>193</v>
      </c>
      <c r="U169" s="219" t="s">
        <v>193</v>
      </c>
      <c r="V169" s="219" t="s">
        <v>193</v>
      </c>
    </row>
    <row r="170" spans="1:22" x14ac:dyDescent="0.35">
      <c r="A170" s="121">
        <v>11</v>
      </c>
      <c r="B170" s="175" t="str">
        <f>VLOOKUP(A170,Control!$A$1:$B$18,2)</f>
        <v>Bristol, Bristol Heart Institute / Bristol Royal Hospital for Children</v>
      </c>
      <c r="C170" s="121"/>
      <c r="D170" s="121"/>
      <c r="E170" s="67"/>
      <c r="F170" s="45"/>
      <c r="G170" s="255" t="s">
        <v>193</v>
      </c>
      <c r="H170" s="255" t="s">
        <v>193</v>
      </c>
      <c r="I170" s="255" t="s">
        <v>193</v>
      </c>
      <c r="J170" s="255" t="s">
        <v>193</v>
      </c>
      <c r="K170" s="255" t="s">
        <v>193</v>
      </c>
      <c r="L170" s="227" t="s">
        <v>193</v>
      </c>
      <c r="M170" s="256" t="s">
        <v>193</v>
      </c>
      <c r="N170" s="256" t="s">
        <v>193</v>
      </c>
      <c r="O170" s="256" t="s">
        <v>193</v>
      </c>
      <c r="P170" s="255" t="s">
        <v>193</v>
      </c>
      <c r="Q170" s="255" t="s">
        <v>193</v>
      </c>
      <c r="R170" s="227" t="s">
        <v>193</v>
      </c>
      <c r="S170" s="256" t="s">
        <v>193</v>
      </c>
      <c r="T170" s="256" t="s">
        <v>193</v>
      </c>
      <c r="U170" s="219" t="s">
        <v>193</v>
      </c>
      <c r="V170" s="219" t="s">
        <v>193</v>
      </c>
    </row>
    <row r="171" spans="1:22" x14ac:dyDescent="0.35">
      <c r="A171" s="121">
        <v>12</v>
      </c>
      <c r="B171" s="175" t="str">
        <f>VLOOKUP(A171,Control!$A$1:$B$18,2)</f>
        <v xml:space="preserve">Exeter, Royal Devon and Exeter Hospital </v>
      </c>
      <c r="C171" s="121"/>
      <c r="D171" s="121"/>
      <c r="E171" s="67"/>
      <c r="F171" s="45"/>
      <c r="G171" s="255" t="s">
        <v>193</v>
      </c>
      <c r="H171" s="255" t="s">
        <v>193</v>
      </c>
      <c r="I171" s="255" t="s">
        <v>193</v>
      </c>
      <c r="J171" s="255" t="s">
        <v>193</v>
      </c>
      <c r="K171" s="255" t="s">
        <v>193</v>
      </c>
      <c r="L171" s="227" t="s">
        <v>193</v>
      </c>
      <c r="M171" s="256" t="s">
        <v>193</v>
      </c>
      <c r="N171" s="256" t="s">
        <v>193</v>
      </c>
      <c r="O171" s="256" t="s">
        <v>193</v>
      </c>
      <c r="P171" s="255" t="s">
        <v>193</v>
      </c>
      <c r="Q171" s="255" t="s">
        <v>193</v>
      </c>
      <c r="R171" s="227" t="s">
        <v>193</v>
      </c>
      <c r="S171" s="256" t="s">
        <v>193</v>
      </c>
      <c r="T171" s="256" t="s">
        <v>193</v>
      </c>
      <c r="U171" s="219" t="s">
        <v>193</v>
      </c>
      <c r="V171" s="219" t="s">
        <v>193</v>
      </c>
    </row>
    <row r="172" spans="1:22" x14ac:dyDescent="0.35">
      <c r="A172" s="121">
        <v>13</v>
      </c>
      <c r="B172" s="175" t="str">
        <f>VLOOKUP(A172,Control!$A$1:$B$18,2)</f>
        <v>Gloucester, Gloucestershire Hospitals</v>
      </c>
      <c r="C172" s="192"/>
      <c r="D172" s="192"/>
      <c r="E172" s="67"/>
      <c r="F172" s="45"/>
      <c r="G172" s="255" t="s">
        <v>193</v>
      </c>
      <c r="H172" s="255" t="s">
        <v>193</v>
      </c>
      <c r="I172" s="255" t="s">
        <v>193</v>
      </c>
      <c r="J172" s="255" t="s">
        <v>193</v>
      </c>
      <c r="K172" s="255" t="s">
        <v>193</v>
      </c>
      <c r="L172" s="227" t="s">
        <v>193</v>
      </c>
      <c r="M172" s="256" t="s">
        <v>193</v>
      </c>
      <c r="N172" s="256" t="s">
        <v>193</v>
      </c>
      <c r="O172" s="256" t="s">
        <v>193</v>
      </c>
      <c r="P172" s="255" t="s">
        <v>193</v>
      </c>
      <c r="Q172" s="255" t="s">
        <v>193</v>
      </c>
      <c r="R172" s="227" t="s">
        <v>193</v>
      </c>
      <c r="S172" s="256" t="s">
        <v>193</v>
      </c>
      <c r="T172" s="256" t="s">
        <v>193</v>
      </c>
      <c r="U172" s="219" t="s">
        <v>193</v>
      </c>
      <c r="V172" s="219" t="s">
        <v>193</v>
      </c>
    </row>
    <row r="173" spans="1:22" x14ac:dyDescent="0.35">
      <c r="A173" s="121">
        <v>14</v>
      </c>
      <c r="B173" s="175" t="str">
        <f>VLOOKUP(A173,Control!$A$1:$B$18,2)</f>
        <v xml:space="preserve">Plymouth, Derriford Hospital </v>
      </c>
      <c r="C173" s="121"/>
      <c r="D173" s="121"/>
      <c r="E173" s="67"/>
      <c r="F173" s="45"/>
      <c r="G173" s="255" t="s">
        <v>193</v>
      </c>
      <c r="H173" s="255" t="s">
        <v>193</v>
      </c>
      <c r="I173" s="255" t="s">
        <v>193</v>
      </c>
      <c r="J173" s="255" t="s">
        <v>193</v>
      </c>
      <c r="K173" s="255" t="s">
        <v>193</v>
      </c>
      <c r="L173" s="227" t="s">
        <v>193</v>
      </c>
      <c r="M173" s="256" t="s">
        <v>193</v>
      </c>
      <c r="N173" s="256" t="s">
        <v>193</v>
      </c>
      <c r="O173" s="256" t="s">
        <v>193</v>
      </c>
      <c r="P173" s="255" t="s">
        <v>193</v>
      </c>
      <c r="Q173" s="255" t="s">
        <v>193</v>
      </c>
      <c r="R173" s="227" t="s">
        <v>193</v>
      </c>
      <c r="S173" s="256" t="s">
        <v>193</v>
      </c>
      <c r="T173" s="256" t="s">
        <v>193</v>
      </c>
      <c r="U173" s="219" t="s">
        <v>193</v>
      </c>
      <c r="V173" s="219" t="s">
        <v>193</v>
      </c>
    </row>
    <row r="174" spans="1:22" x14ac:dyDescent="0.35">
      <c r="A174" s="121">
        <v>15</v>
      </c>
      <c r="B174" s="175" t="str">
        <f>VLOOKUP(A174,Control!$A$1:$B$18,2)</f>
        <v xml:space="preserve">Swindon, Great Weston Hospital </v>
      </c>
      <c r="C174" s="121"/>
      <c r="D174" s="121"/>
      <c r="E174" s="67"/>
      <c r="F174" s="45"/>
      <c r="G174" s="255" t="s">
        <v>193</v>
      </c>
      <c r="H174" s="255" t="s">
        <v>193</v>
      </c>
      <c r="I174" s="255" t="s">
        <v>193</v>
      </c>
      <c r="J174" s="255" t="s">
        <v>193</v>
      </c>
      <c r="K174" s="255" t="s">
        <v>193</v>
      </c>
      <c r="L174" s="227" t="s">
        <v>193</v>
      </c>
      <c r="M174" s="256" t="s">
        <v>193</v>
      </c>
      <c r="N174" s="256" t="s">
        <v>193</v>
      </c>
      <c r="O174" s="256" t="s">
        <v>193</v>
      </c>
      <c r="P174" s="255" t="s">
        <v>193</v>
      </c>
      <c r="Q174" s="255" t="s">
        <v>193</v>
      </c>
      <c r="R174" s="227" t="s">
        <v>193</v>
      </c>
      <c r="S174" s="256" t="s">
        <v>193</v>
      </c>
      <c r="T174" s="256" t="s">
        <v>193</v>
      </c>
      <c r="U174" s="219" t="s">
        <v>193</v>
      </c>
      <c r="V174" s="219" t="s">
        <v>193</v>
      </c>
    </row>
    <row r="175" spans="1:22" x14ac:dyDescent="0.35">
      <c r="A175" s="121">
        <v>16</v>
      </c>
      <c r="B175" s="175" t="str">
        <f>VLOOKUP(A175,Control!$A$1:$B$18,2)</f>
        <v xml:space="preserve">Taunton, Musgrove Park Hospital </v>
      </c>
      <c r="C175" s="121"/>
      <c r="D175" s="121"/>
      <c r="E175" s="67"/>
      <c r="F175" s="45"/>
      <c r="G175" s="255" t="s">
        <v>193</v>
      </c>
      <c r="H175" s="255" t="s">
        <v>193</v>
      </c>
      <c r="I175" s="255" t="s">
        <v>193</v>
      </c>
      <c r="J175" s="255" t="s">
        <v>193</v>
      </c>
      <c r="K175" s="255" t="s">
        <v>193</v>
      </c>
      <c r="L175" s="227" t="s">
        <v>193</v>
      </c>
      <c r="M175" s="256" t="s">
        <v>193</v>
      </c>
      <c r="N175" s="256" t="s">
        <v>193</v>
      </c>
      <c r="O175" s="256" t="s">
        <v>193</v>
      </c>
      <c r="P175" s="255" t="s">
        <v>193</v>
      </c>
      <c r="Q175" s="255" t="s">
        <v>193</v>
      </c>
      <c r="R175" s="227" t="s">
        <v>193</v>
      </c>
      <c r="S175" s="256" t="s">
        <v>193</v>
      </c>
      <c r="T175" s="256" t="s">
        <v>193</v>
      </c>
      <c r="U175" s="219" t="s">
        <v>193</v>
      </c>
      <c r="V175" s="219" t="s">
        <v>193</v>
      </c>
    </row>
    <row r="176" spans="1:22" x14ac:dyDescent="0.35">
      <c r="A176" s="121">
        <v>17</v>
      </c>
      <c r="B176" s="175" t="str">
        <f>VLOOKUP(A176,Control!$A$1:$B$18,2)</f>
        <v xml:space="preserve">Torquay, Torbay General District Hospital </v>
      </c>
      <c r="C176" s="121"/>
      <c r="D176" s="121"/>
      <c r="E176" s="67"/>
      <c r="F176" s="45"/>
      <c r="G176" s="255" t="s">
        <v>193</v>
      </c>
      <c r="H176" s="255" t="s">
        <v>193</v>
      </c>
      <c r="I176" s="255" t="s">
        <v>193</v>
      </c>
      <c r="J176" s="255" t="s">
        <v>193</v>
      </c>
      <c r="K176" s="255" t="s">
        <v>193</v>
      </c>
      <c r="L176" s="227" t="s">
        <v>193</v>
      </c>
      <c r="M176" s="256" t="s">
        <v>193</v>
      </c>
      <c r="N176" s="256" t="s">
        <v>193</v>
      </c>
      <c r="O176" s="256" t="s">
        <v>193</v>
      </c>
      <c r="P176" s="255" t="s">
        <v>193</v>
      </c>
      <c r="Q176" s="255" t="s">
        <v>193</v>
      </c>
      <c r="R176" s="227" t="s">
        <v>193</v>
      </c>
      <c r="S176" s="256" t="s">
        <v>193</v>
      </c>
      <c r="T176" s="256" t="s">
        <v>193</v>
      </c>
      <c r="U176" s="219" t="s">
        <v>193</v>
      </c>
      <c r="V176" s="219" t="s">
        <v>193</v>
      </c>
    </row>
    <row r="177" spans="1:22" x14ac:dyDescent="0.35">
      <c r="A177" s="121">
        <v>18</v>
      </c>
      <c r="B177" s="178" t="str">
        <f>VLOOKUP(A177,Control!$A$1:$B$18,2)</f>
        <v xml:space="preserve">Truro, Royal Cornwall Hospital </v>
      </c>
      <c r="C177" s="121"/>
      <c r="D177" s="121"/>
      <c r="E177" s="67"/>
      <c r="F177" s="45"/>
      <c r="G177" s="255" t="s">
        <v>193</v>
      </c>
      <c r="H177" s="255" t="s">
        <v>193</v>
      </c>
      <c r="I177" s="255" t="s">
        <v>193</v>
      </c>
      <c r="J177" s="255" t="s">
        <v>193</v>
      </c>
      <c r="K177" s="255" t="s">
        <v>193</v>
      </c>
      <c r="L177" s="227" t="s">
        <v>193</v>
      </c>
      <c r="M177" s="256" t="s">
        <v>193</v>
      </c>
      <c r="N177" s="256" t="s">
        <v>193</v>
      </c>
      <c r="O177" s="256" t="s">
        <v>193</v>
      </c>
      <c r="P177" s="255" t="s">
        <v>193</v>
      </c>
      <c r="Q177" s="255" t="s">
        <v>193</v>
      </c>
      <c r="R177" s="227" t="s">
        <v>193</v>
      </c>
      <c r="S177" s="256" t="s">
        <v>193</v>
      </c>
      <c r="T177" s="256" t="s">
        <v>193</v>
      </c>
      <c r="U177" s="219" t="s">
        <v>193</v>
      </c>
      <c r="V177" s="219" t="s">
        <v>193</v>
      </c>
    </row>
    <row r="178" spans="1:22" x14ac:dyDescent="0.35">
      <c r="A178" s="57"/>
      <c r="B178" s="121"/>
      <c r="C178" s="57"/>
      <c r="D178" s="121"/>
      <c r="E178" s="272">
        <f t="shared" ref="E178:V178" ca="1" si="6">OFFSET(E160,AdultChoice-1,0)</f>
        <v>0</v>
      </c>
      <c r="F178" s="274">
        <f t="shared" ca="1" si="6"/>
        <v>0</v>
      </c>
      <c r="G178" s="66" t="str">
        <f t="shared" ca="1" si="6"/>
        <v>No data</v>
      </c>
      <c r="H178" s="66" t="str">
        <f t="shared" ca="1" si="6"/>
        <v>No data</v>
      </c>
      <c r="I178" s="66" t="str">
        <f t="shared" ca="1" si="6"/>
        <v>No data</v>
      </c>
      <c r="J178" s="66" t="str">
        <f t="shared" ca="1" si="6"/>
        <v>No data</v>
      </c>
      <c r="K178" s="66" t="str">
        <f t="shared" ca="1" si="6"/>
        <v>No data</v>
      </c>
      <c r="L178" s="66" t="str">
        <f t="shared" ca="1" si="6"/>
        <v>No data</v>
      </c>
      <c r="M178" s="66" t="str">
        <f t="shared" ca="1" si="6"/>
        <v>No data</v>
      </c>
      <c r="N178" s="66" t="str">
        <f t="shared" ca="1" si="6"/>
        <v>No data</v>
      </c>
      <c r="O178" s="66" t="str">
        <f t="shared" ca="1" si="6"/>
        <v>No data</v>
      </c>
      <c r="P178" s="66" t="str">
        <f t="shared" ca="1" si="6"/>
        <v>No data</v>
      </c>
      <c r="Q178" s="66" t="str">
        <f t="shared" ca="1" si="6"/>
        <v>No data</v>
      </c>
      <c r="R178" s="66" t="str">
        <f t="shared" ca="1" si="6"/>
        <v>No data</v>
      </c>
      <c r="S178" s="66" t="str">
        <f t="shared" ca="1" si="6"/>
        <v>No data</v>
      </c>
      <c r="T178" s="66" t="str">
        <f t="shared" ca="1" si="6"/>
        <v>No data</v>
      </c>
      <c r="U178" s="136" t="str">
        <f t="shared" ca="1" si="6"/>
        <v>No data</v>
      </c>
      <c r="V178" s="136" t="str">
        <f t="shared" ca="1" si="6"/>
        <v>No data</v>
      </c>
    </row>
    <row r="179" spans="1:22" x14ac:dyDescent="0.35">
      <c r="A179" s="59"/>
      <c r="B179" s="119"/>
      <c r="C179" s="59"/>
      <c r="D179" s="119"/>
      <c r="E179" s="31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</row>
    <row r="180" spans="1:22" ht="21" x14ac:dyDescent="0.35">
      <c r="A180" s="70" t="s">
        <v>90</v>
      </c>
      <c r="B180" s="70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</row>
    <row r="181" spans="1:22" x14ac:dyDescent="0.35">
      <c r="B181" s="1">
        <v>2</v>
      </c>
      <c r="C181" s="1">
        <v>3</v>
      </c>
      <c r="D181" s="1">
        <v>4</v>
      </c>
      <c r="E181" s="1">
        <v>5</v>
      </c>
      <c r="F181" s="1">
        <v>6</v>
      </c>
      <c r="G181" s="1">
        <v>7</v>
      </c>
      <c r="H181" s="1">
        <v>8</v>
      </c>
      <c r="I181" s="1">
        <v>9</v>
      </c>
      <c r="J181" s="1">
        <v>10</v>
      </c>
      <c r="K181" s="1">
        <v>11</v>
      </c>
      <c r="L181" s="1">
        <v>12</v>
      </c>
      <c r="M181" s="1">
        <v>13</v>
      </c>
      <c r="N181" s="1">
        <v>14</v>
      </c>
      <c r="O181" s="1">
        <v>15</v>
      </c>
      <c r="P181" s="1">
        <v>16</v>
      </c>
      <c r="Q181" s="1">
        <v>17</v>
      </c>
      <c r="R181" s="1">
        <v>18</v>
      </c>
      <c r="S181" s="1">
        <v>19</v>
      </c>
      <c r="T181" s="1">
        <v>20</v>
      </c>
      <c r="U181" s="1">
        <v>21</v>
      </c>
      <c r="V181" s="1">
        <v>22</v>
      </c>
    </row>
    <row r="182" spans="1:22" x14ac:dyDescent="0.35">
      <c r="A182" s="121"/>
      <c r="B182" s="121"/>
      <c r="C182" s="494" t="s">
        <v>139</v>
      </c>
      <c r="D182" s="494" t="s">
        <v>140</v>
      </c>
      <c r="E182" s="495" t="s">
        <v>0</v>
      </c>
      <c r="F182" s="494" t="s">
        <v>141</v>
      </c>
      <c r="G182" s="494" t="s">
        <v>47</v>
      </c>
      <c r="H182" s="494"/>
      <c r="I182" s="494" t="s">
        <v>48</v>
      </c>
      <c r="J182" s="494"/>
      <c r="K182" s="494"/>
      <c r="L182" s="494"/>
      <c r="M182" s="494"/>
      <c r="N182" s="494"/>
      <c r="O182" s="494"/>
      <c r="P182" s="494"/>
      <c r="Q182" s="494"/>
      <c r="R182" s="494"/>
      <c r="S182" s="494"/>
      <c r="T182" s="494"/>
      <c r="U182" s="494" t="s">
        <v>46</v>
      </c>
      <c r="V182" s="494"/>
    </row>
    <row r="183" spans="1:22" x14ac:dyDescent="0.35">
      <c r="A183" s="121"/>
      <c r="B183" s="121"/>
      <c r="C183" s="494"/>
      <c r="D183" s="494"/>
      <c r="E183" s="495"/>
      <c r="F183" s="494"/>
      <c r="G183" s="494" t="s">
        <v>2</v>
      </c>
      <c r="H183" s="494" t="s">
        <v>3</v>
      </c>
      <c r="I183" s="494" t="s">
        <v>2</v>
      </c>
      <c r="J183" s="494"/>
      <c r="K183" s="494"/>
      <c r="L183" s="494"/>
      <c r="M183" s="494"/>
      <c r="N183" s="494"/>
      <c r="O183" s="494" t="s">
        <v>45</v>
      </c>
      <c r="P183" s="494"/>
      <c r="Q183" s="494"/>
      <c r="R183" s="494"/>
      <c r="S183" s="494"/>
      <c r="T183" s="494"/>
      <c r="U183" s="494" t="s">
        <v>2</v>
      </c>
      <c r="V183" s="494" t="s">
        <v>45</v>
      </c>
    </row>
    <row r="184" spans="1:22" ht="29" x14ac:dyDescent="0.35">
      <c r="A184" s="121"/>
      <c r="B184" s="121"/>
      <c r="C184" s="494"/>
      <c r="D184" s="494"/>
      <c r="E184" s="495"/>
      <c r="F184" s="494"/>
      <c r="G184" s="494"/>
      <c r="H184" s="494"/>
      <c r="I184" s="121" t="s">
        <v>142</v>
      </c>
      <c r="J184" s="121" t="s">
        <v>41</v>
      </c>
      <c r="K184" s="121" t="s">
        <v>42</v>
      </c>
      <c r="L184" s="44" t="s">
        <v>43</v>
      </c>
      <c r="M184" s="121" t="s">
        <v>181</v>
      </c>
      <c r="N184" s="121" t="s">
        <v>144</v>
      </c>
      <c r="O184" s="121" t="s">
        <v>142</v>
      </c>
      <c r="P184" s="121" t="s">
        <v>41</v>
      </c>
      <c r="Q184" s="121" t="s">
        <v>42</v>
      </c>
      <c r="R184" s="44" t="s">
        <v>43</v>
      </c>
      <c r="S184" s="121" t="s">
        <v>143</v>
      </c>
      <c r="T184" s="121" t="s">
        <v>145</v>
      </c>
      <c r="U184" s="494"/>
      <c r="V184" s="494"/>
    </row>
    <row r="185" spans="1:22" x14ac:dyDescent="0.35">
      <c r="A185" s="121">
        <v>1</v>
      </c>
      <c r="B185" s="175" t="str">
        <f>VLOOKUP(A185,Control!$A$1:$B$18,2)</f>
        <v>Aneurin Bevan UHB, Nevill Hall &amp; Royal Gwent Hospitals</v>
      </c>
      <c r="C185" s="121"/>
      <c r="D185" s="121"/>
      <c r="E185" s="67"/>
      <c r="F185" s="45"/>
      <c r="G185" s="255" t="s">
        <v>193</v>
      </c>
      <c r="H185" s="255" t="s">
        <v>193</v>
      </c>
      <c r="I185" s="255" t="s">
        <v>193</v>
      </c>
      <c r="J185" s="255" t="s">
        <v>193</v>
      </c>
      <c r="K185" s="255" t="s">
        <v>193</v>
      </c>
      <c r="L185" s="227" t="s">
        <v>193</v>
      </c>
      <c r="M185" s="256" t="s">
        <v>193</v>
      </c>
      <c r="N185" s="256" t="s">
        <v>193</v>
      </c>
      <c r="O185" s="256" t="s">
        <v>193</v>
      </c>
      <c r="P185" s="255" t="s">
        <v>193</v>
      </c>
      <c r="Q185" s="255" t="s">
        <v>193</v>
      </c>
      <c r="R185" s="227" t="s">
        <v>193</v>
      </c>
      <c r="S185" s="256" t="s">
        <v>193</v>
      </c>
      <c r="T185" s="256" t="s">
        <v>193</v>
      </c>
      <c r="U185" s="219" t="s">
        <v>193</v>
      </c>
      <c r="V185" s="219" t="s">
        <v>193</v>
      </c>
    </row>
    <row r="186" spans="1:22" x14ac:dyDescent="0.35">
      <c r="A186" s="121">
        <v>2</v>
      </c>
      <c r="B186" s="175" t="str">
        <f>VLOOKUP(A186,Control!$A$1:$B$18,2)</f>
        <v>Cardiff &amp; Vale UHB, Noah’s Ark / University Hospital Wales</v>
      </c>
      <c r="C186" s="121"/>
      <c r="D186" s="121"/>
      <c r="E186" s="67"/>
      <c r="F186" s="45"/>
      <c r="G186" s="255" t="s">
        <v>193</v>
      </c>
      <c r="H186" s="255" t="s">
        <v>193</v>
      </c>
      <c r="I186" s="255" t="s">
        <v>193</v>
      </c>
      <c r="J186" s="255" t="s">
        <v>193</v>
      </c>
      <c r="K186" s="255" t="s">
        <v>193</v>
      </c>
      <c r="L186" s="227" t="s">
        <v>193</v>
      </c>
      <c r="M186" s="256" t="s">
        <v>193</v>
      </c>
      <c r="N186" s="256" t="s">
        <v>193</v>
      </c>
      <c r="O186" s="256" t="s">
        <v>193</v>
      </c>
      <c r="P186" s="255" t="s">
        <v>193</v>
      </c>
      <c r="Q186" s="255" t="s">
        <v>193</v>
      </c>
      <c r="R186" s="227" t="s">
        <v>193</v>
      </c>
      <c r="S186" s="256" t="s">
        <v>193</v>
      </c>
      <c r="T186" s="256" t="s">
        <v>193</v>
      </c>
      <c r="U186" s="219" t="s">
        <v>193</v>
      </c>
      <c r="V186" s="219" t="s">
        <v>193</v>
      </c>
    </row>
    <row r="187" spans="1:22" x14ac:dyDescent="0.35">
      <c r="A187" s="121">
        <v>3</v>
      </c>
      <c r="B187" s="175" t="str">
        <f>VLOOKUP(A187,Control!$A$1:$B$18,2)</f>
        <v>Cwm Taf Morgannwg UHB, Princess of Wales Hospital</v>
      </c>
      <c r="C187" s="121"/>
      <c r="D187" s="121"/>
      <c r="E187" s="67"/>
      <c r="F187" s="45"/>
      <c r="G187" s="255" t="s">
        <v>193</v>
      </c>
      <c r="H187" s="255" t="s">
        <v>193</v>
      </c>
      <c r="I187" s="255" t="s">
        <v>193</v>
      </c>
      <c r="J187" s="255" t="s">
        <v>193</v>
      </c>
      <c r="K187" s="255" t="s">
        <v>193</v>
      </c>
      <c r="L187" s="227" t="s">
        <v>193</v>
      </c>
      <c r="M187" s="256" t="s">
        <v>193</v>
      </c>
      <c r="N187" s="256" t="s">
        <v>193</v>
      </c>
      <c r="O187" s="256" t="s">
        <v>193</v>
      </c>
      <c r="P187" s="255" t="s">
        <v>193</v>
      </c>
      <c r="Q187" s="255" t="s">
        <v>193</v>
      </c>
      <c r="R187" s="227" t="s">
        <v>193</v>
      </c>
      <c r="S187" s="256" t="s">
        <v>193</v>
      </c>
      <c r="T187" s="256" t="s">
        <v>193</v>
      </c>
      <c r="U187" s="219" t="s">
        <v>193</v>
      </c>
      <c r="V187" s="219" t="s">
        <v>193</v>
      </c>
    </row>
    <row r="188" spans="1:22" x14ac:dyDescent="0.35">
      <c r="A188" s="121">
        <v>4</v>
      </c>
      <c r="B188" s="175" t="str">
        <f>VLOOKUP(A188,Control!$A$1:$B$18,2)</f>
        <v xml:space="preserve">Cwm Taf Morgannwg UHB, Royal Glamorgan Hospital </v>
      </c>
      <c r="C188" s="121"/>
      <c r="D188" s="121"/>
      <c r="E188" s="67"/>
      <c r="F188" s="45"/>
      <c r="G188" s="255" t="s">
        <v>193</v>
      </c>
      <c r="H188" s="255" t="s">
        <v>193</v>
      </c>
      <c r="I188" s="255" t="s">
        <v>193</v>
      </c>
      <c r="J188" s="255" t="s">
        <v>193</v>
      </c>
      <c r="K188" s="255" t="s">
        <v>193</v>
      </c>
      <c r="L188" s="227" t="s">
        <v>193</v>
      </c>
      <c r="M188" s="256" t="s">
        <v>193</v>
      </c>
      <c r="N188" s="256" t="s">
        <v>193</v>
      </c>
      <c r="O188" s="256" t="s">
        <v>193</v>
      </c>
      <c r="P188" s="255" t="s">
        <v>193</v>
      </c>
      <c r="Q188" s="255" t="s">
        <v>193</v>
      </c>
      <c r="R188" s="227" t="s">
        <v>193</v>
      </c>
      <c r="S188" s="256" t="s">
        <v>193</v>
      </c>
      <c r="T188" s="256" t="s">
        <v>193</v>
      </c>
      <c r="U188" s="219" t="s">
        <v>193</v>
      </c>
      <c r="V188" s="219" t="s">
        <v>193</v>
      </c>
    </row>
    <row r="189" spans="1:22" x14ac:dyDescent="0.35">
      <c r="A189" s="121">
        <v>5</v>
      </c>
      <c r="B189" s="175" t="str">
        <f>VLOOKUP(A189,Control!$A$1:$B$18,2)</f>
        <v>Cwm Taf Morgannwg UHB, Prince Charles Hospital</v>
      </c>
      <c r="C189" s="121"/>
      <c r="D189" s="121"/>
      <c r="E189" s="67"/>
      <c r="F189" s="45"/>
      <c r="G189" s="255" t="s">
        <v>193</v>
      </c>
      <c r="H189" s="255" t="s">
        <v>193</v>
      </c>
      <c r="I189" s="255" t="s">
        <v>193</v>
      </c>
      <c r="J189" s="255" t="s">
        <v>193</v>
      </c>
      <c r="K189" s="255" t="s">
        <v>193</v>
      </c>
      <c r="L189" s="227" t="s">
        <v>193</v>
      </c>
      <c r="M189" s="256" t="s">
        <v>193</v>
      </c>
      <c r="N189" s="256" t="s">
        <v>193</v>
      </c>
      <c r="O189" s="256" t="s">
        <v>193</v>
      </c>
      <c r="P189" s="255" t="s">
        <v>193</v>
      </c>
      <c r="Q189" s="255" t="s">
        <v>193</v>
      </c>
      <c r="R189" s="227" t="s">
        <v>193</v>
      </c>
      <c r="S189" s="256" t="s">
        <v>193</v>
      </c>
      <c r="T189" s="256" t="s">
        <v>193</v>
      </c>
      <c r="U189" s="219" t="s">
        <v>193</v>
      </c>
      <c r="V189" s="219" t="s">
        <v>193</v>
      </c>
    </row>
    <row r="190" spans="1:22" x14ac:dyDescent="0.35">
      <c r="A190" s="121">
        <v>6</v>
      </c>
      <c r="B190" s="175" t="str">
        <f>VLOOKUP(A190,Control!$A$1:$B$18,2)</f>
        <v>Hywel Dda UHB, Glangwilli Hospital</v>
      </c>
      <c r="C190" s="121"/>
      <c r="D190" s="121"/>
      <c r="E190" s="67"/>
      <c r="F190" s="45"/>
      <c r="G190" s="255" t="s">
        <v>193</v>
      </c>
      <c r="H190" s="255" t="s">
        <v>193</v>
      </c>
      <c r="I190" s="255" t="s">
        <v>193</v>
      </c>
      <c r="J190" s="255" t="s">
        <v>193</v>
      </c>
      <c r="K190" s="255" t="s">
        <v>193</v>
      </c>
      <c r="L190" s="227" t="s">
        <v>193</v>
      </c>
      <c r="M190" s="256" t="s">
        <v>193</v>
      </c>
      <c r="N190" s="256" t="s">
        <v>193</v>
      </c>
      <c r="O190" s="256" t="s">
        <v>193</v>
      </c>
      <c r="P190" s="255" t="s">
        <v>193</v>
      </c>
      <c r="Q190" s="255" t="s">
        <v>193</v>
      </c>
      <c r="R190" s="227" t="s">
        <v>193</v>
      </c>
      <c r="S190" s="256" t="s">
        <v>193</v>
      </c>
      <c r="T190" s="256" t="s">
        <v>193</v>
      </c>
      <c r="U190" s="219" t="s">
        <v>193</v>
      </c>
      <c r="V190" s="219" t="s">
        <v>193</v>
      </c>
    </row>
    <row r="191" spans="1:22" x14ac:dyDescent="0.35">
      <c r="A191" s="121">
        <v>7</v>
      </c>
      <c r="B191" s="175" t="str">
        <f>VLOOKUP(A191,Control!$A$1:$B$18,2)</f>
        <v>Hywel Dda UHB, Withybush Hospital</v>
      </c>
      <c r="C191" s="121"/>
      <c r="D191" s="121"/>
      <c r="E191" s="67"/>
      <c r="F191" s="45"/>
      <c r="G191" s="255" t="s">
        <v>193</v>
      </c>
      <c r="H191" s="255" t="s">
        <v>193</v>
      </c>
      <c r="I191" s="255" t="s">
        <v>193</v>
      </c>
      <c r="J191" s="255" t="s">
        <v>193</v>
      </c>
      <c r="K191" s="255" t="s">
        <v>193</v>
      </c>
      <c r="L191" s="227" t="s">
        <v>193</v>
      </c>
      <c r="M191" s="256" t="s">
        <v>193</v>
      </c>
      <c r="N191" s="256" t="s">
        <v>193</v>
      </c>
      <c r="O191" s="256" t="s">
        <v>193</v>
      </c>
      <c r="P191" s="255" t="s">
        <v>193</v>
      </c>
      <c r="Q191" s="255" t="s">
        <v>193</v>
      </c>
      <c r="R191" s="227" t="s">
        <v>193</v>
      </c>
      <c r="S191" s="256" t="s">
        <v>193</v>
      </c>
      <c r="T191" s="256" t="s">
        <v>193</v>
      </c>
      <c r="U191" s="219" t="s">
        <v>193</v>
      </c>
      <c r="V191" s="219" t="s">
        <v>193</v>
      </c>
    </row>
    <row r="192" spans="1:22" x14ac:dyDescent="0.35">
      <c r="A192" s="121">
        <v>8</v>
      </c>
      <c r="B192" s="175" t="str">
        <f>VLOOKUP(A192,Control!$A$1:$B$18,2)</f>
        <v>Swansea Bay UHB, Morriston / Singleton Hospitals</v>
      </c>
      <c r="C192" s="121"/>
      <c r="D192" s="121"/>
      <c r="E192" s="67"/>
      <c r="F192" s="45"/>
      <c r="G192" s="255" t="s">
        <v>193</v>
      </c>
      <c r="H192" s="255" t="s">
        <v>193</v>
      </c>
      <c r="I192" s="255" t="s">
        <v>193</v>
      </c>
      <c r="J192" s="255" t="s">
        <v>193</v>
      </c>
      <c r="K192" s="255" t="s">
        <v>193</v>
      </c>
      <c r="L192" s="227" t="s">
        <v>193</v>
      </c>
      <c r="M192" s="256" t="s">
        <v>193</v>
      </c>
      <c r="N192" s="256" t="s">
        <v>193</v>
      </c>
      <c r="O192" s="256" t="s">
        <v>193</v>
      </c>
      <c r="P192" s="255" t="s">
        <v>193</v>
      </c>
      <c r="Q192" s="255" t="s">
        <v>193</v>
      </c>
      <c r="R192" s="227" t="s">
        <v>193</v>
      </c>
      <c r="S192" s="256" t="s">
        <v>193</v>
      </c>
      <c r="T192" s="256" t="s">
        <v>193</v>
      </c>
      <c r="U192" s="219" t="s">
        <v>193</v>
      </c>
      <c r="V192" s="219" t="s">
        <v>193</v>
      </c>
    </row>
    <row r="193" spans="1:22" x14ac:dyDescent="0.35">
      <c r="A193" s="121">
        <v>9</v>
      </c>
      <c r="B193" s="175" t="str">
        <f>VLOOKUP(A193,Control!$A$1:$B$18,2)</f>
        <v xml:space="preserve">Barnstaple, North Devon District Hospital </v>
      </c>
      <c r="C193" s="121"/>
      <c r="D193" s="121"/>
      <c r="E193" s="67"/>
      <c r="F193" s="45"/>
      <c r="G193" s="255" t="s">
        <v>193</v>
      </c>
      <c r="H193" s="255" t="s">
        <v>193</v>
      </c>
      <c r="I193" s="255" t="s">
        <v>193</v>
      </c>
      <c r="J193" s="255" t="s">
        <v>193</v>
      </c>
      <c r="K193" s="255" t="s">
        <v>193</v>
      </c>
      <c r="L193" s="227" t="s">
        <v>193</v>
      </c>
      <c r="M193" s="256" t="s">
        <v>193</v>
      </c>
      <c r="N193" s="256" t="s">
        <v>193</v>
      </c>
      <c r="O193" s="256" t="s">
        <v>193</v>
      </c>
      <c r="P193" s="255" t="s">
        <v>193</v>
      </c>
      <c r="Q193" s="255" t="s">
        <v>193</v>
      </c>
      <c r="R193" s="227" t="s">
        <v>193</v>
      </c>
      <c r="S193" s="256" t="s">
        <v>193</v>
      </c>
      <c r="T193" s="256" t="s">
        <v>193</v>
      </c>
      <c r="U193" s="219" t="s">
        <v>193</v>
      </c>
      <c r="V193" s="219" t="s">
        <v>193</v>
      </c>
    </row>
    <row r="194" spans="1:22" x14ac:dyDescent="0.35">
      <c r="A194" s="121">
        <v>10</v>
      </c>
      <c r="B194" s="175" t="str">
        <f>VLOOKUP(A194,Control!$A$1:$B$18,2)</f>
        <v xml:space="preserve">Bath, Royal United Hospital </v>
      </c>
      <c r="C194" s="121"/>
      <c r="D194" s="121"/>
      <c r="E194" s="67"/>
      <c r="F194" s="45"/>
      <c r="G194" s="255" t="s">
        <v>193</v>
      </c>
      <c r="H194" s="255" t="s">
        <v>193</v>
      </c>
      <c r="I194" s="255" t="s">
        <v>193</v>
      </c>
      <c r="J194" s="255" t="s">
        <v>193</v>
      </c>
      <c r="K194" s="255" t="s">
        <v>193</v>
      </c>
      <c r="L194" s="227" t="s">
        <v>193</v>
      </c>
      <c r="M194" s="256" t="s">
        <v>193</v>
      </c>
      <c r="N194" s="256" t="s">
        <v>193</v>
      </c>
      <c r="O194" s="256" t="s">
        <v>193</v>
      </c>
      <c r="P194" s="255" t="s">
        <v>193</v>
      </c>
      <c r="Q194" s="255" t="s">
        <v>193</v>
      </c>
      <c r="R194" s="227" t="s">
        <v>193</v>
      </c>
      <c r="S194" s="256" t="s">
        <v>193</v>
      </c>
      <c r="T194" s="256" t="s">
        <v>193</v>
      </c>
      <c r="U194" s="219" t="s">
        <v>193</v>
      </c>
      <c r="V194" s="219" t="s">
        <v>193</v>
      </c>
    </row>
    <row r="195" spans="1:22" x14ac:dyDescent="0.35">
      <c r="A195" s="121">
        <v>11</v>
      </c>
      <c r="B195" s="175" t="str">
        <f>VLOOKUP(A195,Control!$A$1:$B$18,2)</f>
        <v>Bristol, Bristol Heart Institute / Bristol Royal Hospital for Children</v>
      </c>
      <c r="C195" s="121"/>
      <c r="D195" s="121"/>
      <c r="E195" s="67"/>
      <c r="F195" s="45"/>
      <c r="G195" s="255" t="s">
        <v>193</v>
      </c>
      <c r="H195" s="255" t="s">
        <v>193</v>
      </c>
      <c r="I195" s="255" t="s">
        <v>193</v>
      </c>
      <c r="J195" s="255" t="s">
        <v>193</v>
      </c>
      <c r="K195" s="255" t="s">
        <v>193</v>
      </c>
      <c r="L195" s="227" t="s">
        <v>193</v>
      </c>
      <c r="M195" s="256" t="s">
        <v>193</v>
      </c>
      <c r="N195" s="256" t="s">
        <v>193</v>
      </c>
      <c r="O195" s="256" t="s">
        <v>193</v>
      </c>
      <c r="P195" s="255" t="s">
        <v>193</v>
      </c>
      <c r="Q195" s="255" t="s">
        <v>193</v>
      </c>
      <c r="R195" s="227" t="s">
        <v>193</v>
      </c>
      <c r="S195" s="256" t="s">
        <v>193</v>
      </c>
      <c r="T195" s="256" t="s">
        <v>193</v>
      </c>
      <c r="U195" s="219" t="s">
        <v>193</v>
      </c>
      <c r="V195" s="219" t="s">
        <v>193</v>
      </c>
    </row>
    <row r="196" spans="1:22" x14ac:dyDescent="0.35">
      <c r="A196" s="121">
        <v>12</v>
      </c>
      <c r="B196" s="175" t="str">
        <f>VLOOKUP(A196,Control!$A$1:$B$18,2)</f>
        <v xml:space="preserve">Exeter, Royal Devon and Exeter Hospital </v>
      </c>
      <c r="C196" s="121"/>
      <c r="D196" s="121"/>
      <c r="E196" s="67"/>
      <c r="F196" s="45"/>
      <c r="G196" s="255" t="s">
        <v>193</v>
      </c>
      <c r="H196" s="255" t="s">
        <v>193</v>
      </c>
      <c r="I196" s="255" t="s">
        <v>193</v>
      </c>
      <c r="J196" s="255" t="s">
        <v>193</v>
      </c>
      <c r="K196" s="255" t="s">
        <v>193</v>
      </c>
      <c r="L196" s="227" t="s">
        <v>193</v>
      </c>
      <c r="M196" s="256" t="s">
        <v>193</v>
      </c>
      <c r="N196" s="256" t="s">
        <v>193</v>
      </c>
      <c r="O196" s="256" t="s">
        <v>193</v>
      </c>
      <c r="P196" s="255" t="s">
        <v>193</v>
      </c>
      <c r="Q196" s="255" t="s">
        <v>193</v>
      </c>
      <c r="R196" s="227" t="s">
        <v>193</v>
      </c>
      <c r="S196" s="256" t="s">
        <v>193</v>
      </c>
      <c r="T196" s="256" t="s">
        <v>193</v>
      </c>
      <c r="U196" s="219" t="s">
        <v>193</v>
      </c>
      <c r="V196" s="219" t="s">
        <v>193</v>
      </c>
    </row>
    <row r="197" spans="1:22" x14ac:dyDescent="0.35">
      <c r="A197" s="121">
        <v>13</v>
      </c>
      <c r="B197" s="175" t="str">
        <f>VLOOKUP(A197,Control!$A$1:$B$18,2)</f>
        <v>Gloucester, Gloucestershire Hospitals</v>
      </c>
      <c r="C197" s="121"/>
      <c r="D197" s="121"/>
      <c r="E197" s="67"/>
      <c r="F197" s="45"/>
      <c r="G197" s="255" t="s">
        <v>193</v>
      </c>
      <c r="H197" s="255" t="s">
        <v>193</v>
      </c>
      <c r="I197" s="255" t="s">
        <v>193</v>
      </c>
      <c r="J197" s="255" t="s">
        <v>193</v>
      </c>
      <c r="K197" s="255" t="s">
        <v>193</v>
      </c>
      <c r="L197" s="227" t="s">
        <v>193</v>
      </c>
      <c r="M197" s="256" t="s">
        <v>193</v>
      </c>
      <c r="N197" s="256" t="s">
        <v>193</v>
      </c>
      <c r="O197" s="256" t="s">
        <v>193</v>
      </c>
      <c r="P197" s="255" t="s">
        <v>193</v>
      </c>
      <c r="Q197" s="255" t="s">
        <v>193</v>
      </c>
      <c r="R197" s="227" t="s">
        <v>193</v>
      </c>
      <c r="S197" s="256" t="s">
        <v>193</v>
      </c>
      <c r="T197" s="256" t="s">
        <v>193</v>
      </c>
      <c r="U197" s="219" t="s">
        <v>193</v>
      </c>
      <c r="V197" s="219" t="s">
        <v>193</v>
      </c>
    </row>
    <row r="198" spans="1:22" x14ac:dyDescent="0.35">
      <c r="A198" s="121">
        <v>14</v>
      </c>
      <c r="B198" s="175" t="str">
        <f>VLOOKUP(A198,Control!$A$1:$B$18,2)</f>
        <v xml:space="preserve">Plymouth, Derriford Hospital </v>
      </c>
      <c r="C198" s="121"/>
      <c r="D198" s="121"/>
      <c r="E198" s="67"/>
      <c r="F198" s="45"/>
      <c r="G198" s="255" t="s">
        <v>193</v>
      </c>
      <c r="H198" s="255" t="s">
        <v>193</v>
      </c>
      <c r="I198" s="255" t="s">
        <v>193</v>
      </c>
      <c r="J198" s="255" t="s">
        <v>193</v>
      </c>
      <c r="K198" s="255" t="s">
        <v>193</v>
      </c>
      <c r="L198" s="227" t="s">
        <v>193</v>
      </c>
      <c r="M198" s="256" t="s">
        <v>193</v>
      </c>
      <c r="N198" s="256" t="s">
        <v>193</v>
      </c>
      <c r="O198" s="256" t="s">
        <v>193</v>
      </c>
      <c r="P198" s="255" t="s">
        <v>193</v>
      </c>
      <c r="Q198" s="255" t="s">
        <v>193</v>
      </c>
      <c r="R198" s="227" t="s">
        <v>193</v>
      </c>
      <c r="S198" s="256" t="s">
        <v>193</v>
      </c>
      <c r="T198" s="256" t="s">
        <v>193</v>
      </c>
      <c r="U198" s="219" t="s">
        <v>193</v>
      </c>
      <c r="V198" s="219" t="s">
        <v>193</v>
      </c>
    </row>
    <row r="199" spans="1:22" x14ac:dyDescent="0.35">
      <c r="A199" s="121">
        <v>15</v>
      </c>
      <c r="B199" s="175" t="str">
        <f>VLOOKUP(A199,Control!$A$1:$B$18,2)</f>
        <v xml:space="preserve">Swindon, Great Weston Hospital </v>
      </c>
      <c r="C199" s="121"/>
      <c r="D199" s="121"/>
      <c r="E199" s="67"/>
      <c r="F199" s="45"/>
      <c r="G199" s="255" t="s">
        <v>193</v>
      </c>
      <c r="H199" s="255" t="s">
        <v>193</v>
      </c>
      <c r="I199" s="255" t="s">
        <v>193</v>
      </c>
      <c r="J199" s="255" t="s">
        <v>193</v>
      </c>
      <c r="K199" s="255" t="s">
        <v>193</v>
      </c>
      <c r="L199" s="227" t="s">
        <v>193</v>
      </c>
      <c r="M199" s="256" t="s">
        <v>193</v>
      </c>
      <c r="N199" s="256" t="s">
        <v>193</v>
      </c>
      <c r="O199" s="256" t="s">
        <v>193</v>
      </c>
      <c r="P199" s="255" t="s">
        <v>193</v>
      </c>
      <c r="Q199" s="255" t="s">
        <v>193</v>
      </c>
      <c r="R199" s="227" t="s">
        <v>193</v>
      </c>
      <c r="S199" s="256" t="s">
        <v>193</v>
      </c>
      <c r="T199" s="256" t="s">
        <v>193</v>
      </c>
      <c r="U199" s="219" t="s">
        <v>193</v>
      </c>
      <c r="V199" s="219" t="s">
        <v>193</v>
      </c>
    </row>
    <row r="200" spans="1:22" x14ac:dyDescent="0.35">
      <c r="A200" s="121">
        <v>16</v>
      </c>
      <c r="B200" s="175" t="str">
        <f>VLOOKUP(A200,Control!$A$1:$B$18,2)</f>
        <v xml:space="preserve">Taunton, Musgrove Park Hospital </v>
      </c>
      <c r="C200" s="121"/>
      <c r="D200" s="121"/>
      <c r="E200" s="67"/>
      <c r="F200" s="45"/>
      <c r="G200" s="255" t="s">
        <v>193</v>
      </c>
      <c r="H200" s="255" t="s">
        <v>193</v>
      </c>
      <c r="I200" s="255" t="s">
        <v>193</v>
      </c>
      <c r="J200" s="255" t="s">
        <v>193</v>
      </c>
      <c r="K200" s="255" t="s">
        <v>193</v>
      </c>
      <c r="L200" s="227" t="s">
        <v>193</v>
      </c>
      <c r="M200" s="256" t="s">
        <v>193</v>
      </c>
      <c r="N200" s="256" t="s">
        <v>193</v>
      </c>
      <c r="O200" s="256" t="s">
        <v>193</v>
      </c>
      <c r="P200" s="255" t="s">
        <v>193</v>
      </c>
      <c r="Q200" s="255" t="s">
        <v>193</v>
      </c>
      <c r="R200" s="227" t="s">
        <v>193</v>
      </c>
      <c r="S200" s="256" t="s">
        <v>193</v>
      </c>
      <c r="T200" s="256" t="s">
        <v>193</v>
      </c>
      <c r="U200" s="219" t="s">
        <v>193</v>
      </c>
      <c r="V200" s="219" t="s">
        <v>193</v>
      </c>
    </row>
    <row r="201" spans="1:22" x14ac:dyDescent="0.35">
      <c r="A201" s="121">
        <v>17</v>
      </c>
      <c r="B201" s="175" t="str">
        <f>VLOOKUP(A201,Control!$A$1:$B$18,2)</f>
        <v xml:space="preserve">Torquay, Torbay General District Hospital </v>
      </c>
      <c r="G201" s="255" t="s">
        <v>193</v>
      </c>
      <c r="H201" s="255" t="s">
        <v>193</v>
      </c>
      <c r="I201" s="255" t="s">
        <v>193</v>
      </c>
      <c r="J201" s="255" t="s">
        <v>193</v>
      </c>
      <c r="K201" s="255" t="s">
        <v>193</v>
      </c>
      <c r="L201" s="227" t="s">
        <v>193</v>
      </c>
      <c r="M201" s="256" t="s">
        <v>193</v>
      </c>
      <c r="N201" s="256" t="s">
        <v>193</v>
      </c>
      <c r="O201" s="256" t="s">
        <v>193</v>
      </c>
      <c r="P201" s="255" t="s">
        <v>193</v>
      </c>
      <c r="Q201" s="255" t="s">
        <v>193</v>
      </c>
      <c r="R201" s="227" t="s">
        <v>193</v>
      </c>
      <c r="S201" s="256" t="s">
        <v>193</v>
      </c>
      <c r="T201" s="256" t="s">
        <v>193</v>
      </c>
      <c r="U201" s="219" t="s">
        <v>193</v>
      </c>
      <c r="V201" s="219" t="s">
        <v>193</v>
      </c>
    </row>
    <row r="202" spans="1:22" x14ac:dyDescent="0.35">
      <c r="A202" s="121">
        <v>18</v>
      </c>
      <c r="B202" s="178" t="str">
        <f>VLOOKUP(A202,Control!$A$1:$B$18,2)</f>
        <v xml:space="preserve">Truro, Royal Cornwall Hospital </v>
      </c>
      <c r="C202" s="121"/>
      <c r="D202" s="121"/>
      <c r="E202" s="67"/>
      <c r="F202" s="45"/>
      <c r="G202" s="255" t="s">
        <v>193</v>
      </c>
      <c r="H202" s="255" t="s">
        <v>193</v>
      </c>
      <c r="I202" s="255" t="s">
        <v>193</v>
      </c>
      <c r="J202" s="255" t="s">
        <v>193</v>
      </c>
      <c r="K202" s="255" t="s">
        <v>193</v>
      </c>
      <c r="L202" s="227" t="s">
        <v>193</v>
      </c>
      <c r="M202" s="256" t="s">
        <v>193</v>
      </c>
      <c r="N202" s="256" t="s">
        <v>193</v>
      </c>
      <c r="O202" s="256" t="s">
        <v>193</v>
      </c>
      <c r="P202" s="255" t="s">
        <v>193</v>
      </c>
      <c r="Q202" s="255" t="s">
        <v>193</v>
      </c>
      <c r="R202" s="227" t="s">
        <v>193</v>
      </c>
      <c r="S202" s="256" t="s">
        <v>193</v>
      </c>
      <c r="T202" s="256" t="s">
        <v>193</v>
      </c>
      <c r="U202" s="219" t="s">
        <v>193</v>
      </c>
      <c r="V202" s="219" t="s">
        <v>193</v>
      </c>
    </row>
    <row r="203" spans="1:22" x14ac:dyDescent="0.35">
      <c r="C203" s="58"/>
      <c r="D203" s="58"/>
      <c r="E203" s="6">
        <f t="shared" ref="E203:V203" ca="1" si="7">OFFSET(E185,PaedChoice-1,0)</f>
        <v>0</v>
      </c>
      <c r="F203" s="6">
        <f t="shared" ca="1" si="7"/>
        <v>0</v>
      </c>
      <c r="G203" s="5" t="str">
        <f t="shared" ca="1" si="7"/>
        <v>No data</v>
      </c>
      <c r="H203" s="5" t="str">
        <f t="shared" ca="1" si="7"/>
        <v>No data</v>
      </c>
      <c r="I203" s="5" t="str">
        <f t="shared" ca="1" si="7"/>
        <v>No data</v>
      </c>
      <c r="J203" s="5" t="str">
        <f t="shared" ca="1" si="7"/>
        <v>No data</v>
      </c>
      <c r="K203" s="5" t="str">
        <f t="shared" ca="1" si="7"/>
        <v>No data</v>
      </c>
      <c r="L203" s="5" t="str">
        <f t="shared" ca="1" si="7"/>
        <v>No data</v>
      </c>
      <c r="M203" s="5" t="str">
        <f t="shared" ca="1" si="7"/>
        <v>No data</v>
      </c>
      <c r="N203" s="5" t="str">
        <f t="shared" ca="1" si="7"/>
        <v>No data</v>
      </c>
      <c r="O203" s="5" t="str">
        <f t="shared" ca="1" si="7"/>
        <v>No data</v>
      </c>
      <c r="P203" s="5" t="str">
        <f t="shared" ca="1" si="7"/>
        <v>No data</v>
      </c>
      <c r="Q203" s="5" t="str">
        <f t="shared" ca="1" si="7"/>
        <v>No data</v>
      </c>
      <c r="R203" s="5" t="str">
        <f t="shared" ca="1" si="7"/>
        <v>No data</v>
      </c>
      <c r="S203" s="5" t="str">
        <f t="shared" ca="1" si="7"/>
        <v>No data</v>
      </c>
      <c r="T203" s="5" t="str">
        <f t="shared" ca="1" si="7"/>
        <v>No data</v>
      </c>
      <c r="U203" s="271" t="str">
        <f t="shared" ca="1" si="7"/>
        <v>No data</v>
      </c>
      <c r="V203" s="271" t="str">
        <f t="shared" ca="1" si="7"/>
        <v>No data</v>
      </c>
    </row>
    <row r="204" spans="1:22" x14ac:dyDescent="0.35">
      <c r="A204" s="58"/>
      <c r="B204" s="58"/>
      <c r="C204" s="71"/>
      <c r="D204" s="71"/>
      <c r="E204" s="71"/>
      <c r="F204" s="71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1:22" x14ac:dyDescent="0.35">
      <c r="A205" s="58"/>
      <c r="B205" s="58"/>
      <c r="C205" s="71"/>
      <c r="D205" s="71"/>
      <c r="E205" s="71"/>
      <c r="F205" s="71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1:22" x14ac:dyDescent="0.35">
      <c r="A206" s="58"/>
      <c r="B206" s="58"/>
      <c r="C206" s="71"/>
      <c r="D206" s="71"/>
      <c r="E206" s="71"/>
      <c r="F206" s="71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1:22" ht="21" hidden="1" x14ac:dyDescent="0.35">
      <c r="A207" s="72" t="s">
        <v>11</v>
      </c>
      <c r="B207" s="7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idden="1" x14ac:dyDescent="0.35">
      <c r="B208" s="7" t="s">
        <v>67</v>
      </c>
    </row>
    <row r="209" spans="1:22" hidden="1" x14ac:dyDescent="0.35">
      <c r="C209" s="1">
        <v>2</v>
      </c>
      <c r="D209" s="1">
        <v>3</v>
      </c>
      <c r="E209" s="1">
        <v>4</v>
      </c>
      <c r="F209" s="1">
        <v>5</v>
      </c>
      <c r="G209" s="1">
        <v>6</v>
      </c>
      <c r="H209" s="1">
        <v>7</v>
      </c>
      <c r="I209" s="1">
        <v>8</v>
      </c>
      <c r="J209" s="1">
        <v>9</v>
      </c>
      <c r="K209" s="1">
        <v>10</v>
      </c>
      <c r="L209" s="1">
        <v>11</v>
      </c>
      <c r="M209" s="1">
        <v>12</v>
      </c>
      <c r="N209" s="1">
        <v>13</v>
      </c>
      <c r="O209" s="1">
        <v>14</v>
      </c>
      <c r="P209" s="1">
        <v>15</v>
      </c>
      <c r="Q209" s="1">
        <v>16</v>
      </c>
      <c r="R209" s="1">
        <v>17</v>
      </c>
      <c r="S209" s="1">
        <v>18</v>
      </c>
      <c r="T209" s="1">
        <v>19</v>
      </c>
      <c r="U209" s="58"/>
      <c r="V209" s="58"/>
    </row>
    <row r="210" spans="1:22" hidden="1" x14ac:dyDescent="0.35">
      <c r="A210" s="56"/>
      <c r="B210" s="121"/>
      <c r="C210" s="497" t="s">
        <v>139</v>
      </c>
      <c r="D210" s="497" t="s">
        <v>140</v>
      </c>
      <c r="E210" s="500" t="s">
        <v>0</v>
      </c>
      <c r="F210" s="497" t="s">
        <v>141</v>
      </c>
      <c r="G210" s="494" t="s">
        <v>47</v>
      </c>
      <c r="H210" s="494"/>
      <c r="I210" s="494" t="s">
        <v>48</v>
      </c>
      <c r="J210" s="494"/>
      <c r="K210" s="494"/>
      <c r="L210" s="494"/>
      <c r="M210" s="494"/>
      <c r="N210" s="494"/>
      <c r="O210" s="494"/>
      <c r="P210" s="494"/>
      <c r="Q210" s="494"/>
      <c r="R210" s="494"/>
      <c r="S210" s="494"/>
      <c r="T210" s="494"/>
      <c r="U210" s="494" t="s">
        <v>46</v>
      </c>
      <c r="V210" s="494"/>
    </row>
    <row r="211" spans="1:22" hidden="1" x14ac:dyDescent="0.35">
      <c r="A211" s="56"/>
      <c r="B211" s="121"/>
      <c r="C211" s="497"/>
      <c r="D211" s="497"/>
      <c r="E211" s="500"/>
      <c r="F211" s="497"/>
      <c r="G211" s="494" t="s">
        <v>2</v>
      </c>
      <c r="H211" s="494" t="s">
        <v>3</v>
      </c>
      <c r="I211" s="494" t="s">
        <v>2</v>
      </c>
      <c r="J211" s="494"/>
      <c r="K211" s="494"/>
      <c r="L211" s="494"/>
      <c r="M211" s="494"/>
      <c r="N211" s="494"/>
      <c r="O211" s="494" t="s">
        <v>45</v>
      </c>
      <c r="P211" s="494"/>
      <c r="Q211" s="494"/>
      <c r="R211" s="494"/>
      <c r="S211" s="494"/>
      <c r="T211" s="494"/>
      <c r="U211" s="494" t="s">
        <v>2</v>
      </c>
      <c r="V211" s="494" t="s">
        <v>45</v>
      </c>
    </row>
    <row r="212" spans="1:22" ht="29" hidden="1" x14ac:dyDescent="0.35">
      <c r="A212" s="56"/>
      <c r="B212" s="121"/>
      <c r="C212" s="497"/>
      <c r="D212" s="497"/>
      <c r="E212" s="500"/>
      <c r="F212" s="497"/>
      <c r="G212" s="494"/>
      <c r="H212" s="494"/>
      <c r="I212" s="121" t="s">
        <v>142</v>
      </c>
      <c r="J212" s="121" t="s">
        <v>41</v>
      </c>
      <c r="K212" s="121" t="s">
        <v>44</v>
      </c>
      <c r="L212" s="44" t="s">
        <v>43</v>
      </c>
      <c r="M212" s="121" t="s">
        <v>143</v>
      </c>
      <c r="N212" s="121" t="s">
        <v>144</v>
      </c>
      <c r="O212" s="121" t="s">
        <v>142</v>
      </c>
      <c r="P212" s="121" t="s">
        <v>41</v>
      </c>
      <c r="Q212" s="121" t="s">
        <v>42</v>
      </c>
      <c r="R212" s="44" t="s">
        <v>43</v>
      </c>
      <c r="S212" s="121" t="s">
        <v>143</v>
      </c>
      <c r="T212" s="121" t="s">
        <v>145</v>
      </c>
      <c r="U212" s="494"/>
      <c r="V212" s="494"/>
    </row>
    <row r="213" spans="1:22" hidden="1" x14ac:dyDescent="0.35">
      <c r="A213" s="56">
        <v>1</v>
      </c>
      <c r="B213" s="137" t="s">
        <v>57</v>
      </c>
      <c r="C213" s="62"/>
      <c r="D213" s="120"/>
      <c r="E213" s="319"/>
      <c r="F213" s="64"/>
      <c r="G213" s="62" t="e">
        <f t="shared" ref="G213:H216" ca="1" si="8">(G7+G154+G179+G203)</f>
        <v>#VALUE!</v>
      </c>
      <c r="H213" s="62" t="e">
        <f t="shared" ca="1" si="8"/>
        <v>#VALUE!</v>
      </c>
      <c r="I213" s="120"/>
      <c r="J213" s="62" t="e">
        <f t="shared" ref="J213:M216" ca="1" si="9">(J7+J154+J179+J203)</f>
        <v>#VALUE!</v>
      </c>
      <c r="K213" s="62" t="e">
        <f t="shared" ca="1" si="9"/>
        <v>#VALUE!</v>
      </c>
      <c r="L213" s="62" t="e">
        <f t="shared" ca="1" si="9"/>
        <v>#VALUE!</v>
      </c>
      <c r="M213" s="62" t="e">
        <f t="shared" ca="1" si="9"/>
        <v>#VALUE!</v>
      </c>
      <c r="N213" s="120"/>
      <c r="O213" s="120"/>
      <c r="P213" s="62" t="e">
        <f t="shared" ref="P213:S216" ca="1" si="10">(P7+P154+P179+P203)</f>
        <v>#VALUE!</v>
      </c>
      <c r="Q213" s="62" t="e">
        <f t="shared" ca="1" si="10"/>
        <v>#VALUE!</v>
      </c>
      <c r="R213" s="62" t="e">
        <f t="shared" ca="1" si="10"/>
        <v>#VALUE!</v>
      </c>
      <c r="S213" s="62" t="e">
        <f t="shared" ca="1" si="10"/>
        <v>#VALUE!</v>
      </c>
      <c r="T213" s="120"/>
      <c r="U213" s="59"/>
      <c r="V213" s="60"/>
    </row>
    <row r="214" spans="1:22" hidden="1" x14ac:dyDescent="0.35">
      <c r="A214" s="56">
        <v>2</v>
      </c>
      <c r="B214" s="137" t="s">
        <v>63</v>
      </c>
      <c r="C214" s="62"/>
      <c r="D214" s="120"/>
      <c r="E214" s="319"/>
      <c r="F214" s="64"/>
      <c r="G214" s="62">
        <f t="shared" si="8"/>
        <v>12</v>
      </c>
      <c r="H214" s="62">
        <f t="shared" si="8"/>
        <v>0</v>
      </c>
      <c r="I214" s="120"/>
      <c r="J214" s="62">
        <f t="shared" si="9"/>
        <v>37</v>
      </c>
      <c r="K214" s="62">
        <f t="shared" si="9"/>
        <v>79</v>
      </c>
      <c r="L214" s="62">
        <f t="shared" si="9"/>
        <v>28</v>
      </c>
      <c r="M214" s="62">
        <f t="shared" si="9"/>
        <v>178</v>
      </c>
      <c r="N214" s="120"/>
      <c r="O214" s="120"/>
      <c r="P214" s="62">
        <f t="shared" si="10"/>
        <v>0</v>
      </c>
      <c r="Q214" s="62">
        <f t="shared" si="10"/>
        <v>0</v>
      </c>
      <c r="R214" s="62">
        <f t="shared" si="10"/>
        <v>0</v>
      </c>
      <c r="S214" s="62">
        <f t="shared" si="10"/>
        <v>0</v>
      </c>
      <c r="T214" s="120"/>
      <c r="U214" s="59"/>
      <c r="V214" s="60"/>
    </row>
    <row r="215" spans="1:22" hidden="1" x14ac:dyDescent="0.35">
      <c r="A215" s="56">
        <v>3</v>
      </c>
      <c r="B215" s="137" t="s">
        <v>61</v>
      </c>
      <c r="C215" s="62"/>
      <c r="D215" s="120"/>
      <c r="E215" s="319"/>
      <c r="F215" s="64"/>
      <c r="G215" s="62">
        <f t="shared" si="8"/>
        <v>14</v>
      </c>
      <c r="H215" s="62">
        <f t="shared" si="8"/>
        <v>68</v>
      </c>
      <c r="I215" s="120"/>
      <c r="J215" s="62">
        <f t="shared" si="9"/>
        <v>20</v>
      </c>
      <c r="K215" s="62">
        <f t="shared" si="9"/>
        <v>22</v>
      </c>
      <c r="L215" s="62">
        <f t="shared" si="9"/>
        <v>24</v>
      </c>
      <c r="M215" s="62">
        <f t="shared" si="9"/>
        <v>26</v>
      </c>
      <c r="N215" s="120"/>
      <c r="O215" s="120"/>
      <c r="P215" s="62">
        <f t="shared" si="10"/>
        <v>82</v>
      </c>
      <c r="Q215" s="62">
        <f t="shared" si="10"/>
        <v>126</v>
      </c>
      <c r="R215" s="62">
        <f t="shared" si="10"/>
        <v>97</v>
      </c>
      <c r="S215" s="62">
        <f t="shared" si="10"/>
        <v>277</v>
      </c>
      <c r="T215" s="120"/>
      <c r="U215" s="59"/>
      <c r="V215" s="60"/>
    </row>
    <row r="216" spans="1:22" hidden="1" x14ac:dyDescent="0.35">
      <c r="A216" s="56">
        <v>4</v>
      </c>
      <c r="B216" s="137" t="s">
        <v>59</v>
      </c>
      <c r="C216" s="62"/>
      <c r="D216" s="120"/>
      <c r="E216" s="319"/>
      <c r="F216" s="64"/>
      <c r="G216" s="62" t="e">
        <f t="shared" si="8"/>
        <v>#VALUE!</v>
      </c>
      <c r="H216" s="62">
        <f t="shared" si="8"/>
        <v>0</v>
      </c>
      <c r="I216" s="120"/>
      <c r="J216" s="62">
        <f t="shared" si="9"/>
        <v>0</v>
      </c>
      <c r="K216" s="62">
        <f t="shared" si="9"/>
        <v>0</v>
      </c>
      <c r="L216" s="62">
        <f t="shared" si="9"/>
        <v>0</v>
      </c>
      <c r="M216" s="62">
        <f t="shared" si="9"/>
        <v>4</v>
      </c>
      <c r="N216" s="120"/>
      <c r="O216" s="120"/>
      <c r="P216" s="62">
        <f t="shared" si="10"/>
        <v>0</v>
      </c>
      <c r="Q216" s="62">
        <f t="shared" si="10"/>
        <v>0</v>
      </c>
      <c r="R216" s="62">
        <f t="shared" si="10"/>
        <v>0</v>
      </c>
      <c r="S216" s="62">
        <f t="shared" si="10"/>
        <v>0</v>
      </c>
      <c r="T216" s="120"/>
      <c r="U216" s="59"/>
      <c r="V216" s="60"/>
    </row>
    <row r="217" spans="1:22" hidden="1" x14ac:dyDescent="0.35">
      <c r="A217" s="56">
        <v>5</v>
      </c>
      <c r="B217" s="137" t="s">
        <v>74</v>
      </c>
      <c r="C217" s="62"/>
      <c r="D217" s="120"/>
      <c r="E217" s="319"/>
      <c r="F217" s="64"/>
      <c r="G217" s="62" t="e">
        <f>(G11+G158+G183+#REF!)</f>
        <v>#VALUE!</v>
      </c>
      <c r="H217" s="62" t="e">
        <f>(H11+H158+H183+#REF!)</f>
        <v>#VALUE!</v>
      </c>
      <c r="I217" s="120"/>
      <c r="J217" s="62" t="e">
        <f>(J11+J158+J183+#REF!)</f>
        <v>#REF!</v>
      </c>
      <c r="K217" s="62" t="e">
        <f>(K11+K158+K183+#REF!)</f>
        <v>#REF!</v>
      </c>
      <c r="L217" s="62" t="e">
        <f>(L11+L158+L183+#REF!)</f>
        <v>#REF!</v>
      </c>
      <c r="M217" s="62" t="e">
        <f>(M11+M158+M183+#REF!)</f>
        <v>#REF!</v>
      </c>
      <c r="N217" s="120"/>
      <c r="O217" s="120"/>
      <c r="P217" s="62" t="e">
        <f>(P11+P158+P183+#REF!)</f>
        <v>#REF!</v>
      </c>
      <c r="Q217" s="62" t="e">
        <f>(Q11+Q158+Q183+#REF!)</f>
        <v>#REF!</v>
      </c>
      <c r="R217" s="62" t="e">
        <f>(R11+R158+R183+#REF!)</f>
        <v>#REF!</v>
      </c>
      <c r="S217" s="62" t="e">
        <f>(S11+S158+S183+#REF!)</f>
        <v>#REF!</v>
      </c>
      <c r="T217" s="120"/>
      <c r="U217" s="59"/>
      <c r="V217" s="60"/>
    </row>
    <row r="218" spans="1:22" hidden="1" x14ac:dyDescent="0.35">
      <c r="A218" s="56">
        <v>6</v>
      </c>
      <c r="B218" s="137" t="s">
        <v>62</v>
      </c>
      <c r="C218" s="62"/>
      <c r="D218" s="120"/>
      <c r="E218" s="319"/>
      <c r="F218" s="64"/>
      <c r="G218" s="62" t="e">
        <f>(G12+G159+G184+#REF!)</f>
        <v>#REF!</v>
      </c>
      <c r="H218" s="62" t="e">
        <f>(H12+H159+H184+#REF!)</f>
        <v>#REF!</v>
      </c>
      <c r="I218" s="120"/>
      <c r="J218" s="62" t="e">
        <f>(J12+J159+J184+#REF!)</f>
        <v>#VALUE!</v>
      </c>
      <c r="K218" s="62" t="e">
        <f>(K12+K159+K184+#REF!)</f>
        <v>#VALUE!</v>
      </c>
      <c r="L218" s="62" t="e">
        <f>(L12+L159+L184+#REF!)</f>
        <v>#VALUE!</v>
      </c>
      <c r="M218" s="62" t="e">
        <f>(M12+M159+M184+#REF!)</f>
        <v>#VALUE!</v>
      </c>
      <c r="N218" s="120"/>
      <c r="O218" s="120"/>
      <c r="P218" s="62" t="e">
        <f>(P12+P159+P184+#REF!)</f>
        <v>#VALUE!</v>
      </c>
      <c r="Q218" s="62" t="e">
        <f>(Q12+Q159+Q184+#REF!)</f>
        <v>#VALUE!</v>
      </c>
      <c r="R218" s="62" t="e">
        <f>(R12+R159+R184+#REF!)</f>
        <v>#VALUE!</v>
      </c>
      <c r="S218" s="62" t="e">
        <f>(S12+S159+S184+#REF!)</f>
        <v>#VALUE!</v>
      </c>
      <c r="T218" s="120"/>
      <c r="U218" s="59"/>
      <c r="V218" s="60"/>
    </row>
    <row r="219" spans="1:22" hidden="1" x14ac:dyDescent="0.35">
      <c r="A219" s="56">
        <v>7</v>
      </c>
      <c r="B219" s="137" t="s">
        <v>69</v>
      </c>
      <c r="C219" s="62"/>
      <c r="D219" s="120"/>
      <c r="E219" s="319"/>
      <c r="F219" s="64"/>
      <c r="G219" s="62" t="e">
        <f>(G13+G160+G185+#REF!)</f>
        <v>#VALUE!</v>
      </c>
      <c r="H219" s="62" t="e">
        <f>(H13+H160+H185+#REF!)</f>
        <v>#VALUE!</v>
      </c>
      <c r="I219" s="120"/>
      <c r="J219" s="62" t="e">
        <f>(J13+J160+J185+#REF!)</f>
        <v>#VALUE!</v>
      </c>
      <c r="K219" s="62" t="e">
        <f>(K13+K160+K185+#REF!)</f>
        <v>#VALUE!</v>
      </c>
      <c r="L219" s="62" t="e">
        <f>(L13+L160+L185+#REF!)</f>
        <v>#VALUE!</v>
      </c>
      <c r="M219" s="62" t="e">
        <f>(M13+M160+M185+#REF!)</f>
        <v>#VALUE!</v>
      </c>
      <c r="N219" s="120"/>
      <c r="O219" s="120"/>
      <c r="P219" s="62" t="e">
        <f>(P13+P160+P185+#REF!)</f>
        <v>#VALUE!</v>
      </c>
      <c r="Q219" s="62" t="e">
        <f>(Q13+Q160+Q185+#REF!)</f>
        <v>#VALUE!</v>
      </c>
      <c r="R219" s="62" t="e">
        <f>(R13+R160+R185+#REF!)</f>
        <v>#VALUE!</v>
      </c>
      <c r="S219" s="62" t="e">
        <f>(S13+S160+S185+#REF!)</f>
        <v>#VALUE!</v>
      </c>
      <c r="T219" s="120"/>
      <c r="U219" s="59"/>
      <c r="V219" s="60"/>
    </row>
    <row r="220" spans="1:22" hidden="1" x14ac:dyDescent="0.35">
      <c r="A220" s="56">
        <v>8</v>
      </c>
      <c r="B220" s="137" t="s">
        <v>75</v>
      </c>
      <c r="C220" s="62"/>
      <c r="D220" s="120"/>
      <c r="E220" s="319"/>
      <c r="F220" s="64"/>
      <c r="G220" s="62" t="e">
        <f>(G14+G161+G186+#REF!)</f>
        <v>#VALUE!</v>
      </c>
      <c r="H220" s="62" t="e">
        <f>(H14+H161+H186+#REF!)</f>
        <v>#VALUE!</v>
      </c>
      <c r="I220" s="120"/>
      <c r="J220" s="62" t="e">
        <f>(J14+J161+J186+#REF!)</f>
        <v>#VALUE!</v>
      </c>
      <c r="K220" s="62" t="e">
        <f>(K14+K161+K186+#REF!)</f>
        <v>#VALUE!</v>
      </c>
      <c r="L220" s="62" t="e">
        <f>(L14+L161+L186+#REF!)</f>
        <v>#VALUE!</v>
      </c>
      <c r="M220" s="62" t="e">
        <f>(M14+M161+M186+#REF!)</f>
        <v>#VALUE!</v>
      </c>
      <c r="N220" s="120"/>
      <c r="O220" s="120"/>
      <c r="P220" s="62" t="e">
        <f>(P14+P161+P186+#REF!)</f>
        <v>#VALUE!</v>
      </c>
      <c r="Q220" s="62" t="e">
        <f>(Q14+Q161+Q186+#REF!)</f>
        <v>#VALUE!</v>
      </c>
      <c r="R220" s="62" t="e">
        <f>(R14+R161+R186+#REF!)</f>
        <v>#VALUE!</v>
      </c>
      <c r="S220" s="62" t="e">
        <f>(S14+S161+S186+#REF!)</f>
        <v>#VALUE!</v>
      </c>
      <c r="T220" s="120"/>
      <c r="U220" s="60"/>
      <c r="V220" s="60"/>
    </row>
    <row r="221" spans="1:22" hidden="1" x14ac:dyDescent="0.35">
      <c r="A221" s="56">
        <v>9</v>
      </c>
      <c r="B221" s="137" t="s">
        <v>76</v>
      </c>
      <c r="C221" s="62"/>
      <c r="D221" s="120"/>
      <c r="E221" s="319"/>
      <c r="F221" s="64"/>
      <c r="G221" s="62" t="e">
        <f>(G15+G162+G187+#REF!)</f>
        <v>#VALUE!</v>
      </c>
      <c r="H221" s="62" t="e">
        <f>(H15+H162+H187+#REF!)</f>
        <v>#VALUE!</v>
      </c>
      <c r="I221" s="120"/>
      <c r="J221" s="62" t="e">
        <f>(J15+J162+J187+#REF!)</f>
        <v>#VALUE!</v>
      </c>
      <c r="K221" s="62" t="e">
        <f>(K15+K162+K187+#REF!)</f>
        <v>#VALUE!</v>
      </c>
      <c r="L221" s="62" t="e">
        <f>(L15+L162+L187+#REF!)</f>
        <v>#VALUE!</v>
      </c>
      <c r="M221" s="62" t="e">
        <f>(M15+M162+M187+#REF!)</f>
        <v>#VALUE!</v>
      </c>
      <c r="N221" s="120"/>
      <c r="O221" s="120"/>
      <c r="P221" s="62" t="e">
        <f>(P15+P162+P187+#REF!)</f>
        <v>#VALUE!</v>
      </c>
      <c r="Q221" s="62" t="e">
        <f>(Q15+Q162+Q187+#REF!)</f>
        <v>#VALUE!</v>
      </c>
      <c r="R221" s="62" t="e">
        <f>(R15+R162+R187+#REF!)</f>
        <v>#VALUE!</v>
      </c>
      <c r="S221" s="62" t="e">
        <f>(S15+S162+S187+#REF!)</f>
        <v>#VALUE!</v>
      </c>
      <c r="T221" s="120"/>
      <c r="U221" s="60"/>
      <c r="V221" s="60"/>
    </row>
    <row r="222" spans="1:22" hidden="1" x14ac:dyDescent="0.35">
      <c r="A222" s="56">
        <v>10</v>
      </c>
      <c r="B222" s="137" t="s">
        <v>58</v>
      </c>
      <c r="C222" s="62"/>
      <c r="D222" s="120"/>
      <c r="E222" s="319"/>
      <c r="F222" s="64"/>
      <c r="G222" s="62" t="e">
        <f>(G16+G163+G188+#REF!)</f>
        <v>#VALUE!</v>
      </c>
      <c r="H222" s="62" t="e">
        <f>(H16+H163+H188+#REF!)</f>
        <v>#VALUE!</v>
      </c>
      <c r="I222" s="120"/>
      <c r="J222" s="62" t="e">
        <f>(J16+J163+J188+#REF!)</f>
        <v>#VALUE!</v>
      </c>
      <c r="K222" s="62" t="e">
        <f>(K16+K163+K188+#REF!)</f>
        <v>#VALUE!</v>
      </c>
      <c r="L222" s="62" t="e">
        <f>(L16+L163+L188+#REF!)</f>
        <v>#VALUE!</v>
      </c>
      <c r="M222" s="62" t="e">
        <f>(M16+M163+M188+#REF!)</f>
        <v>#VALUE!</v>
      </c>
      <c r="N222" s="120"/>
      <c r="O222" s="120"/>
      <c r="P222" s="62" t="e">
        <f>(P16+P163+P188+#REF!)</f>
        <v>#VALUE!</v>
      </c>
      <c r="Q222" s="62" t="e">
        <f>(Q16+Q163+Q188+#REF!)</f>
        <v>#VALUE!</v>
      </c>
      <c r="R222" s="62" t="e">
        <f>(R16+R163+R188+#REF!)</f>
        <v>#VALUE!</v>
      </c>
      <c r="S222" s="62" t="e">
        <f>(S16+S163+S188+#REF!)</f>
        <v>#VALUE!</v>
      </c>
      <c r="T222" s="120"/>
      <c r="U222" s="60"/>
      <c r="V222" s="60"/>
    </row>
    <row r="223" spans="1:22" hidden="1" x14ac:dyDescent="0.35">
      <c r="A223" s="56">
        <v>11</v>
      </c>
      <c r="B223" s="137" t="s">
        <v>77</v>
      </c>
      <c r="C223" s="62"/>
      <c r="D223" s="120"/>
      <c r="E223" s="319"/>
      <c r="F223" s="64"/>
      <c r="G223" s="62" t="e">
        <f>(G17+G164+G189+#REF!)</f>
        <v>#VALUE!</v>
      </c>
      <c r="H223" s="62" t="e">
        <f>(H17+H164+H189+#REF!)</f>
        <v>#VALUE!</v>
      </c>
      <c r="I223" s="120"/>
      <c r="J223" s="62" t="e">
        <f>(J17+J164+J189+#REF!)</f>
        <v>#VALUE!</v>
      </c>
      <c r="K223" s="62" t="e">
        <f>(K17+K164+K189+#REF!)</f>
        <v>#VALUE!</v>
      </c>
      <c r="L223" s="62" t="e">
        <f>(L17+L164+L189+#REF!)</f>
        <v>#VALUE!</v>
      </c>
      <c r="M223" s="62" t="e">
        <f>(M17+M164+M189+#REF!)</f>
        <v>#VALUE!</v>
      </c>
      <c r="N223" s="120"/>
      <c r="O223" s="120"/>
      <c r="P223" s="62" t="e">
        <f>(P17+P164+P189+#REF!)</f>
        <v>#VALUE!</v>
      </c>
      <c r="Q223" s="62" t="e">
        <f>(Q17+Q164+Q189+#REF!)</f>
        <v>#VALUE!</v>
      </c>
      <c r="R223" s="62" t="e">
        <f>(R17+R164+R189+#REF!)</f>
        <v>#VALUE!</v>
      </c>
      <c r="S223" s="62" t="e">
        <f>(S17+S164+S189+#REF!)</f>
        <v>#VALUE!</v>
      </c>
      <c r="T223" s="120"/>
      <c r="U223" s="60"/>
      <c r="V223" s="60"/>
    </row>
    <row r="224" spans="1:22" hidden="1" x14ac:dyDescent="0.35">
      <c r="A224" s="56">
        <v>12</v>
      </c>
      <c r="B224" s="137" t="s">
        <v>72</v>
      </c>
      <c r="C224" s="62"/>
      <c r="D224" s="120"/>
      <c r="E224" s="319"/>
      <c r="F224" s="64"/>
      <c r="G224" s="62" t="e">
        <f>(G18+G165+G190+#REF!)</f>
        <v>#VALUE!</v>
      </c>
      <c r="H224" s="62" t="e">
        <f>(H18+H165+H190+#REF!)</f>
        <v>#VALUE!</v>
      </c>
      <c r="I224" s="120"/>
      <c r="J224" s="62" t="e">
        <f>(J18+J165+J190+#REF!)</f>
        <v>#VALUE!</v>
      </c>
      <c r="K224" s="62" t="e">
        <f>(K18+K165+K190+#REF!)</f>
        <v>#VALUE!</v>
      </c>
      <c r="L224" s="62" t="e">
        <f>(L18+L165+L190+#REF!)</f>
        <v>#VALUE!</v>
      </c>
      <c r="M224" s="62" t="e">
        <f>(M18+M165+M190+#REF!)</f>
        <v>#VALUE!</v>
      </c>
      <c r="N224" s="120"/>
      <c r="O224" s="120"/>
      <c r="P224" s="62" t="e">
        <f>(P18+P165+P190+#REF!)</f>
        <v>#VALUE!</v>
      </c>
      <c r="Q224" s="62" t="e">
        <f>(Q18+Q165+Q190+#REF!)</f>
        <v>#VALUE!</v>
      </c>
      <c r="R224" s="62" t="e">
        <f>(R18+R165+R190+#REF!)</f>
        <v>#VALUE!</v>
      </c>
      <c r="S224" s="62" t="e">
        <f>(S18+S165+S190+#REF!)</f>
        <v>#VALUE!</v>
      </c>
      <c r="T224" s="120"/>
      <c r="U224" s="60"/>
      <c r="V224" s="60"/>
    </row>
    <row r="225" spans="1:22" hidden="1" x14ac:dyDescent="0.35">
      <c r="A225" s="56">
        <v>13</v>
      </c>
      <c r="B225" s="137" t="s">
        <v>68</v>
      </c>
      <c r="C225" s="62"/>
      <c r="D225" s="120"/>
      <c r="E225" s="319"/>
      <c r="F225" s="64"/>
      <c r="G225" s="62" t="e">
        <f>(G19+G166+G191+#REF!)</f>
        <v>#VALUE!</v>
      </c>
      <c r="H225" s="62" t="e">
        <f>(H19+H166+H191+#REF!)</f>
        <v>#VALUE!</v>
      </c>
      <c r="I225" s="120"/>
      <c r="J225" s="62" t="e">
        <f>(J19+J166+J191+#REF!)</f>
        <v>#VALUE!</v>
      </c>
      <c r="K225" s="62" t="e">
        <f>(K19+K166+K191+#REF!)</f>
        <v>#VALUE!</v>
      </c>
      <c r="L225" s="62" t="e">
        <f>(L19+L166+L191+#REF!)</f>
        <v>#VALUE!</v>
      </c>
      <c r="M225" s="62" t="e">
        <f>(M19+M166+M191+#REF!)</f>
        <v>#VALUE!</v>
      </c>
      <c r="N225" s="120"/>
      <c r="O225" s="120"/>
      <c r="P225" s="62" t="e">
        <f>(P19+P166+P191+#REF!)</f>
        <v>#VALUE!</v>
      </c>
      <c r="Q225" s="62" t="e">
        <f>(Q19+Q166+Q191+#REF!)</f>
        <v>#VALUE!</v>
      </c>
      <c r="R225" s="62" t="e">
        <f>(R19+R166+R191+#REF!)</f>
        <v>#VALUE!</v>
      </c>
      <c r="S225" s="62" t="e">
        <f>(S19+S166+S191+#REF!)</f>
        <v>#VALUE!</v>
      </c>
      <c r="T225" s="120"/>
      <c r="U225" s="60"/>
      <c r="V225" s="60"/>
    </row>
    <row r="226" spans="1:22" hidden="1" x14ac:dyDescent="0.35">
      <c r="A226" s="56">
        <v>14</v>
      </c>
      <c r="B226" s="137" t="s">
        <v>78</v>
      </c>
      <c r="C226" s="62"/>
      <c r="D226" s="120"/>
      <c r="E226" s="319"/>
      <c r="F226" s="64"/>
      <c r="G226" s="62" t="e">
        <f>(G20+G167+G192+#REF!)</f>
        <v>#VALUE!</v>
      </c>
      <c r="H226" s="62" t="e">
        <f>(H20+H167+H192+#REF!)</f>
        <v>#VALUE!</v>
      </c>
      <c r="I226" s="120"/>
      <c r="J226" s="62" t="e">
        <f>(J20+J167+J192+#REF!)</f>
        <v>#VALUE!</v>
      </c>
      <c r="K226" s="62" t="e">
        <f>(K20+K167+K192+#REF!)</f>
        <v>#VALUE!</v>
      </c>
      <c r="L226" s="62" t="e">
        <f>(L20+L167+L192+#REF!)</f>
        <v>#VALUE!</v>
      </c>
      <c r="M226" s="62" t="e">
        <f>(M20+M167+M192+#REF!)</f>
        <v>#VALUE!</v>
      </c>
      <c r="N226" s="120"/>
      <c r="O226" s="120"/>
      <c r="P226" s="62" t="e">
        <f>(P20+P167+P192+#REF!)</f>
        <v>#VALUE!</v>
      </c>
      <c r="Q226" s="62" t="e">
        <f>(Q20+Q167+Q192+#REF!)</f>
        <v>#VALUE!</v>
      </c>
      <c r="R226" s="62" t="e">
        <f>(R20+R167+R192+#REF!)</f>
        <v>#VALUE!</v>
      </c>
      <c r="S226" s="62" t="e">
        <f>(S20+S167+S192+#REF!)</f>
        <v>#VALUE!</v>
      </c>
      <c r="T226" s="120"/>
      <c r="U226" s="60"/>
      <c r="V226" s="60"/>
    </row>
    <row r="227" spans="1:22" hidden="1" x14ac:dyDescent="0.35">
      <c r="A227" s="56">
        <v>15</v>
      </c>
      <c r="B227" s="137" t="s">
        <v>64</v>
      </c>
      <c r="C227" s="62"/>
      <c r="D227" s="120"/>
      <c r="E227" s="319"/>
      <c r="F227" s="64"/>
      <c r="G227" s="62" t="e">
        <f>(G21+G168+G193+#REF!)</f>
        <v>#VALUE!</v>
      </c>
      <c r="H227" s="62" t="e">
        <f>(H21+H168+H193+#REF!)</f>
        <v>#VALUE!</v>
      </c>
      <c r="I227" s="120"/>
      <c r="J227" s="62" t="e">
        <f>(J21+J168+J193+#REF!)</f>
        <v>#VALUE!</v>
      </c>
      <c r="K227" s="62" t="e">
        <f>(K21+K168+K193+#REF!)</f>
        <v>#VALUE!</v>
      </c>
      <c r="L227" s="62" t="e">
        <f>(L21+L168+L193+#REF!)</f>
        <v>#VALUE!</v>
      </c>
      <c r="M227" s="62" t="e">
        <f>(M21+M168+M193+#REF!)</f>
        <v>#VALUE!</v>
      </c>
      <c r="N227" s="120"/>
      <c r="O227" s="120"/>
      <c r="P227" s="62" t="e">
        <f>(P21+P168+P193+#REF!)</f>
        <v>#VALUE!</v>
      </c>
      <c r="Q227" s="62" t="e">
        <f>(Q21+Q168+Q193+#REF!)</f>
        <v>#VALUE!</v>
      </c>
      <c r="R227" s="62" t="e">
        <f>(R21+R168+R193+#REF!)</f>
        <v>#VALUE!</v>
      </c>
      <c r="S227" s="62" t="e">
        <f>(S21+S168+S193+#REF!)</f>
        <v>#VALUE!</v>
      </c>
      <c r="T227" s="120"/>
      <c r="U227" s="60"/>
      <c r="V227" s="60"/>
    </row>
    <row r="228" spans="1:22" hidden="1" x14ac:dyDescent="0.35">
      <c r="A228" s="56">
        <v>16</v>
      </c>
      <c r="B228" s="137" t="s">
        <v>65</v>
      </c>
      <c r="C228" s="62"/>
      <c r="D228" s="120"/>
      <c r="E228" s="319"/>
      <c r="F228" s="64"/>
      <c r="G228" s="65" t="e">
        <f>(G22+G169+G194+#REF!)</f>
        <v>#VALUE!</v>
      </c>
      <c r="H228" s="65" t="e">
        <f>(H22+H169+H194+#REF!)</f>
        <v>#VALUE!</v>
      </c>
      <c r="I228" s="65"/>
      <c r="J228" s="65" t="e">
        <f>(J22+J169+J194+#REF!)</f>
        <v>#VALUE!</v>
      </c>
      <c r="K228" s="65" t="e">
        <f>(K22+K169+K194+#REF!)</f>
        <v>#VALUE!</v>
      </c>
      <c r="L228" s="65" t="e">
        <f>(L22+L169+L194+#REF!)</f>
        <v>#VALUE!</v>
      </c>
      <c r="M228" s="65" t="e">
        <f>(M22+M169+M194+#REF!)</f>
        <v>#VALUE!</v>
      </c>
      <c r="N228" s="65"/>
      <c r="O228" s="65"/>
      <c r="P228" s="65" t="e">
        <f>(P22+P169+P194+#REF!)</f>
        <v>#VALUE!</v>
      </c>
      <c r="Q228" s="65" t="e">
        <f>(Q22+Q169+Q194+#REF!)</f>
        <v>#VALUE!</v>
      </c>
      <c r="R228" s="65" t="e">
        <f>(R22+R169+R194+#REF!)</f>
        <v>#VALUE!</v>
      </c>
      <c r="S228" s="65" t="e">
        <f>(S22+S169+S194+#REF!)</f>
        <v>#VALUE!</v>
      </c>
      <c r="T228" s="65"/>
      <c r="U228" s="60"/>
      <c r="V228" s="60"/>
    </row>
    <row r="229" spans="1:22" hidden="1" x14ac:dyDescent="0.35">
      <c r="A229" s="56">
        <v>17</v>
      </c>
      <c r="B229" s="137" t="s">
        <v>79</v>
      </c>
      <c r="C229" s="62"/>
      <c r="D229" s="120"/>
      <c r="E229" s="319"/>
      <c r="F229" s="64"/>
      <c r="G229" s="65" t="e">
        <f>(G24+G170+G195+#REF!)</f>
        <v>#VALUE!</v>
      </c>
      <c r="H229" s="65" t="e">
        <f>(H24+H170+H195+#REF!)</f>
        <v>#VALUE!</v>
      </c>
      <c r="I229" s="65"/>
      <c r="J229" s="65" t="e">
        <f>(J24+J170+J195+#REF!)</f>
        <v>#VALUE!</v>
      </c>
      <c r="K229" s="65" t="e">
        <f>(K24+K170+K195+#REF!)</f>
        <v>#VALUE!</v>
      </c>
      <c r="L229" s="65" t="e">
        <f>(L24+L170+L195+#REF!)</f>
        <v>#VALUE!</v>
      </c>
      <c r="M229" s="65" t="e">
        <f>(M24+M170+M195+#REF!)</f>
        <v>#VALUE!</v>
      </c>
      <c r="N229" s="65"/>
      <c r="O229" s="65"/>
      <c r="P229" s="65" t="e">
        <f>(P24+P170+P195+#REF!)</f>
        <v>#VALUE!</v>
      </c>
      <c r="Q229" s="65" t="e">
        <f>(Q24+Q170+Q195+#REF!)</f>
        <v>#VALUE!</v>
      </c>
      <c r="R229" s="65" t="e">
        <f>(R24+R170+R195+#REF!)</f>
        <v>#VALUE!</v>
      </c>
      <c r="S229" s="65" t="e">
        <f>(S24+S170+S195+#REF!)</f>
        <v>#VALUE!</v>
      </c>
      <c r="T229" s="65"/>
      <c r="U229" s="60"/>
      <c r="V229" s="60"/>
    </row>
    <row r="230" spans="1:22" hidden="1" x14ac:dyDescent="0.35">
      <c r="A230" s="56">
        <v>18</v>
      </c>
      <c r="B230" s="137" t="s">
        <v>80</v>
      </c>
      <c r="C230" s="62"/>
      <c r="D230" s="120"/>
      <c r="E230" s="320"/>
      <c r="F230" s="64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0"/>
      <c r="V230" s="60"/>
    </row>
    <row r="231" spans="1:22" hidden="1" x14ac:dyDescent="0.35">
      <c r="C231" s="5"/>
      <c r="D231" s="5"/>
      <c r="E231" s="6" t="e">
        <f>VLOOKUP(Control!$B$19,Table5,Data!#REF!,FALSE)</f>
        <v>#REF!</v>
      </c>
      <c r="F231" s="6"/>
      <c r="G231" s="6" t="e">
        <f>VLOOKUP(Control!$B$19,Table5,Data!#REF!,FALSE)</f>
        <v>#REF!</v>
      </c>
      <c r="H231" s="6" t="e">
        <f>VLOOKUP(Control!$B$19,Table5,Data!#REF!,FALSE)</f>
        <v>#REF!</v>
      </c>
      <c r="I231" s="6"/>
      <c r="J231" s="6"/>
      <c r="K231" s="6"/>
      <c r="L231" s="6"/>
      <c r="M231" s="6"/>
      <c r="N231" s="6"/>
      <c r="O231" s="6"/>
      <c r="P231" s="6" t="e">
        <f>VLOOKUP(Control!$B$19,Table5,Data!#REF!,FALSE)</f>
        <v>#REF!</v>
      </c>
      <c r="Q231" s="6" t="e">
        <f>VLOOKUP(Control!$B$19,Table5,Data!#REF!,FALSE)</f>
        <v>#REF!</v>
      </c>
      <c r="R231" s="6"/>
      <c r="S231" s="6"/>
      <c r="T231" s="6"/>
      <c r="U231" s="61"/>
      <c r="V231" s="61"/>
    </row>
    <row r="232" spans="1:22" hidden="1" x14ac:dyDescent="0.35"/>
    <row r="233" spans="1:22" hidden="1" x14ac:dyDescent="0.35"/>
    <row r="234" spans="1:22" hidden="1" x14ac:dyDescent="0.35">
      <c r="B234" s="7" t="s">
        <v>16</v>
      </c>
    </row>
    <row r="235" spans="1:22" hidden="1" x14ac:dyDescent="0.35">
      <c r="C235" s="1">
        <v>2</v>
      </c>
      <c r="E235" s="1">
        <v>3</v>
      </c>
      <c r="G235" s="1">
        <v>4</v>
      </c>
      <c r="H235" s="1">
        <v>5</v>
      </c>
      <c r="J235" s="1">
        <v>6</v>
      </c>
      <c r="K235" s="1">
        <v>7</v>
      </c>
      <c r="L235" s="1">
        <v>8</v>
      </c>
      <c r="M235" s="1">
        <v>9</v>
      </c>
      <c r="P235" s="1">
        <v>10</v>
      </c>
      <c r="Q235" s="1">
        <v>11</v>
      </c>
      <c r="R235" s="1">
        <v>12</v>
      </c>
      <c r="S235" s="1">
        <v>13</v>
      </c>
    </row>
    <row r="236" spans="1:22" hidden="1" x14ac:dyDescent="0.35">
      <c r="A236" s="121"/>
      <c r="B236" s="121"/>
      <c r="C236" s="496" t="s">
        <v>139</v>
      </c>
      <c r="D236" s="496" t="s">
        <v>140</v>
      </c>
      <c r="E236" s="498" t="s">
        <v>0</v>
      </c>
      <c r="F236" s="120"/>
      <c r="G236" s="496" t="s">
        <v>47</v>
      </c>
      <c r="H236" s="496"/>
      <c r="I236" s="120"/>
      <c r="J236" s="496" t="s">
        <v>48</v>
      </c>
      <c r="K236" s="496"/>
      <c r="L236" s="496"/>
      <c r="M236" s="496"/>
      <c r="N236" s="496"/>
      <c r="O236" s="496"/>
      <c r="P236" s="496"/>
      <c r="Q236" s="496"/>
      <c r="R236" s="496"/>
      <c r="S236" s="496"/>
      <c r="T236" s="120"/>
    </row>
    <row r="237" spans="1:22" hidden="1" x14ac:dyDescent="0.35">
      <c r="A237" s="121"/>
      <c r="B237" s="121"/>
      <c r="C237" s="496"/>
      <c r="D237" s="496"/>
      <c r="E237" s="498"/>
      <c r="F237" s="120"/>
      <c r="G237" s="496" t="s">
        <v>2</v>
      </c>
      <c r="H237" s="496" t="s">
        <v>3</v>
      </c>
      <c r="I237" s="120"/>
      <c r="J237" s="496" t="s">
        <v>2</v>
      </c>
      <c r="K237" s="496"/>
      <c r="L237" s="496"/>
      <c r="M237" s="496"/>
      <c r="N237" s="120"/>
      <c r="O237" s="120"/>
      <c r="P237" s="496" t="s">
        <v>45</v>
      </c>
      <c r="Q237" s="496"/>
      <c r="R237" s="496"/>
      <c r="S237" s="496"/>
      <c r="T237" s="120"/>
    </row>
    <row r="238" spans="1:22" hidden="1" x14ac:dyDescent="0.35">
      <c r="A238" s="121"/>
      <c r="B238" s="121"/>
      <c r="C238" s="496"/>
      <c r="D238" s="496"/>
      <c r="E238" s="498"/>
      <c r="F238" s="120"/>
      <c r="G238" s="496"/>
      <c r="H238" s="496"/>
      <c r="I238" s="120"/>
      <c r="J238" s="120" t="s">
        <v>41</v>
      </c>
      <c r="K238" s="120" t="s">
        <v>44</v>
      </c>
      <c r="L238" s="63" t="s">
        <v>43</v>
      </c>
      <c r="M238" s="120" t="s">
        <v>37</v>
      </c>
      <c r="N238" s="120"/>
      <c r="O238" s="120"/>
      <c r="P238" s="120" t="s">
        <v>41</v>
      </c>
      <c r="Q238" s="120" t="s">
        <v>42</v>
      </c>
      <c r="R238" s="63" t="s">
        <v>43</v>
      </c>
      <c r="S238" s="120" t="s">
        <v>37</v>
      </c>
      <c r="T238" s="120"/>
    </row>
    <row r="239" spans="1:22" hidden="1" x14ac:dyDescent="0.35">
      <c r="A239" s="121">
        <v>1</v>
      </c>
      <c r="B239" s="137" t="s">
        <v>81</v>
      </c>
      <c r="C239" s="120"/>
      <c r="D239" s="120"/>
      <c r="E239" s="319"/>
      <c r="F239" s="64"/>
      <c r="G239" s="120" t="e">
        <f t="shared" ref="G239:H242" si="11">(G33+G180+G204+G229)</f>
        <v>#VALUE!</v>
      </c>
      <c r="H239" s="120" t="e">
        <f t="shared" si="11"/>
        <v>#VALUE!</v>
      </c>
      <c r="I239" s="120"/>
      <c r="J239" s="120" t="e">
        <f t="shared" ref="J239:M242" si="12">(J33+J180+J204+J229)</f>
        <v>#VALUE!</v>
      </c>
      <c r="K239" s="120" t="e">
        <f t="shared" si="12"/>
        <v>#VALUE!</v>
      </c>
      <c r="L239" s="120" t="e">
        <f t="shared" si="12"/>
        <v>#VALUE!</v>
      </c>
      <c r="M239" s="120" t="e">
        <f t="shared" si="12"/>
        <v>#VALUE!</v>
      </c>
      <c r="N239" s="120"/>
      <c r="O239" s="120"/>
      <c r="P239" s="120" t="e">
        <f t="shared" ref="P239:S242" si="13">(P33+P180+P204+P229)</f>
        <v>#VALUE!</v>
      </c>
      <c r="Q239" s="120" t="e">
        <f t="shared" si="13"/>
        <v>#VALUE!</v>
      </c>
      <c r="R239" s="120" t="e">
        <f t="shared" si="13"/>
        <v>#VALUE!</v>
      </c>
      <c r="S239" s="120" t="e">
        <f t="shared" si="13"/>
        <v>#VALUE!</v>
      </c>
      <c r="T239" s="120"/>
    </row>
    <row r="240" spans="1:22" hidden="1" x14ac:dyDescent="0.35">
      <c r="A240" s="121">
        <v>2</v>
      </c>
      <c r="B240" s="137" t="s">
        <v>71</v>
      </c>
      <c r="C240" s="120"/>
      <c r="D240" s="120"/>
      <c r="E240" s="319"/>
      <c r="F240" s="64"/>
      <c r="G240" s="120" t="e">
        <f t="shared" si="11"/>
        <v>#VALUE!</v>
      </c>
      <c r="H240" s="120" t="e">
        <f t="shared" si="11"/>
        <v>#VALUE!</v>
      </c>
      <c r="I240" s="120"/>
      <c r="J240" s="120" t="e">
        <f t="shared" si="12"/>
        <v>#VALUE!</v>
      </c>
      <c r="K240" s="120" t="e">
        <f t="shared" si="12"/>
        <v>#VALUE!</v>
      </c>
      <c r="L240" s="120" t="e">
        <f t="shared" si="12"/>
        <v>#VALUE!</v>
      </c>
      <c r="M240" s="120" t="e">
        <f t="shared" si="12"/>
        <v>#VALUE!</v>
      </c>
      <c r="N240" s="120"/>
      <c r="O240" s="120"/>
      <c r="P240" s="120" t="e">
        <f t="shared" si="13"/>
        <v>#VALUE!</v>
      </c>
      <c r="Q240" s="120" t="e">
        <f t="shared" si="13"/>
        <v>#VALUE!</v>
      </c>
      <c r="R240" s="120" t="e">
        <f t="shared" si="13"/>
        <v>#VALUE!</v>
      </c>
      <c r="S240" s="120" t="e">
        <f t="shared" si="13"/>
        <v>#VALUE!</v>
      </c>
      <c r="T240" s="120"/>
    </row>
    <row r="241" spans="1:20" hidden="1" x14ac:dyDescent="0.35">
      <c r="A241" s="121">
        <v>3</v>
      </c>
      <c r="B241" s="137" t="s">
        <v>82</v>
      </c>
      <c r="C241" s="120"/>
      <c r="D241" s="120"/>
      <c r="E241" s="319"/>
      <c r="F241" s="64"/>
      <c r="G241" s="120" t="e">
        <f t="shared" si="11"/>
        <v>#VALUE!</v>
      </c>
      <c r="H241" s="120" t="e">
        <f t="shared" si="11"/>
        <v>#REF!</v>
      </c>
      <c r="I241" s="120"/>
      <c r="J241" s="120">
        <f t="shared" si="12"/>
        <v>6</v>
      </c>
      <c r="K241" s="120">
        <f t="shared" si="12"/>
        <v>4</v>
      </c>
      <c r="L241" s="120">
        <f t="shared" si="12"/>
        <v>0</v>
      </c>
      <c r="M241" s="120">
        <f t="shared" si="12"/>
        <v>16</v>
      </c>
      <c r="N241" s="120"/>
      <c r="O241" s="120"/>
      <c r="P241" s="120" t="e">
        <f t="shared" si="13"/>
        <v>#REF!</v>
      </c>
      <c r="Q241" s="120" t="e">
        <f t="shared" si="13"/>
        <v>#REF!</v>
      </c>
      <c r="R241" s="120">
        <f t="shared" si="13"/>
        <v>7</v>
      </c>
      <c r="S241" s="120">
        <f t="shared" si="13"/>
        <v>37</v>
      </c>
      <c r="T241" s="120"/>
    </row>
    <row r="242" spans="1:20" hidden="1" x14ac:dyDescent="0.35">
      <c r="A242" s="121">
        <v>4</v>
      </c>
      <c r="B242" s="137" t="s">
        <v>83</v>
      </c>
      <c r="C242" s="120"/>
      <c r="D242" s="120"/>
      <c r="E242" s="319"/>
      <c r="F242" s="64"/>
      <c r="G242" s="120" t="e">
        <f t="shared" si="11"/>
        <v>#VALUE!</v>
      </c>
      <c r="H242" s="120" t="e">
        <f t="shared" si="11"/>
        <v>#VALUE!</v>
      </c>
      <c r="I242" s="120"/>
      <c r="J242" s="120">
        <f t="shared" si="12"/>
        <v>12</v>
      </c>
      <c r="K242" s="120">
        <f t="shared" si="12"/>
        <v>10</v>
      </c>
      <c r="L242" s="120">
        <f t="shared" si="12"/>
        <v>6</v>
      </c>
      <c r="M242" s="120">
        <f t="shared" si="12"/>
        <v>30</v>
      </c>
      <c r="N242" s="120"/>
      <c r="O242" s="120"/>
      <c r="P242" s="120">
        <f t="shared" si="13"/>
        <v>6</v>
      </c>
      <c r="Q242" s="120">
        <f t="shared" si="13"/>
        <v>11</v>
      </c>
      <c r="R242" s="120">
        <f t="shared" si="13"/>
        <v>10</v>
      </c>
      <c r="S242" s="120">
        <f t="shared" si="13"/>
        <v>34</v>
      </c>
      <c r="T242" s="120"/>
    </row>
    <row r="243" spans="1:20" hidden="1" x14ac:dyDescent="0.35">
      <c r="A243" s="121">
        <v>5</v>
      </c>
      <c r="B243" s="137" t="s">
        <v>84</v>
      </c>
      <c r="C243" s="120"/>
      <c r="D243" s="120"/>
      <c r="E243" s="319"/>
      <c r="F243" s="64"/>
      <c r="G243" s="120" t="e">
        <f>(G37+G184+G208+#REF!)</f>
        <v>#REF!</v>
      </c>
      <c r="H243" s="120" t="e">
        <f>(H37+H184+H208+#REF!)</f>
        <v>#REF!</v>
      </c>
      <c r="I243" s="120"/>
      <c r="J243" s="120" t="e">
        <f>(J37+J184+J208+#REF!)</f>
        <v>#VALUE!</v>
      </c>
      <c r="K243" s="120" t="e">
        <f>(K37+K184+K208+#REF!)</f>
        <v>#VALUE!</v>
      </c>
      <c r="L243" s="120" t="e">
        <f>(L37+L184+L208+#REF!)</f>
        <v>#VALUE!</v>
      </c>
      <c r="M243" s="120" t="e">
        <f>(M37+M184+M208+#REF!)</f>
        <v>#VALUE!</v>
      </c>
      <c r="N243" s="120"/>
      <c r="O243" s="120"/>
      <c r="P243" s="120" t="e">
        <f>(P37+P184+P208+#REF!)</f>
        <v>#VALUE!</v>
      </c>
      <c r="Q243" s="120" t="e">
        <f>(Q37+Q184+Q208+#REF!)</f>
        <v>#VALUE!</v>
      </c>
      <c r="R243" s="120" t="e">
        <f>(R37+R184+R208+#REF!)</f>
        <v>#VALUE!</v>
      </c>
      <c r="S243" s="120" t="e">
        <f>(S37+S184+S208+#REF!)</f>
        <v>#VALUE!</v>
      </c>
      <c r="T243" s="120"/>
    </row>
    <row r="244" spans="1:20" hidden="1" x14ac:dyDescent="0.35">
      <c r="A244" s="121">
        <v>6</v>
      </c>
      <c r="B244" s="137" t="s">
        <v>85</v>
      </c>
      <c r="C244" s="120"/>
      <c r="D244" s="120"/>
      <c r="E244" s="319"/>
      <c r="F244" s="64"/>
      <c r="G244" s="120" t="e">
        <f>(G38+G185+G209+#REF!)</f>
        <v>#VALUE!</v>
      </c>
      <c r="H244" s="120" t="e">
        <f>(H38+H185+H209+#REF!)</f>
        <v>#VALUE!</v>
      </c>
      <c r="I244" s="120"/>
      <c r="J244" s="120" t="e">
        <f>(J38+J185+J209+#REF!)</f>
        <v>#VALUE!</v>
      </c>
      <c r="K244" s="120" t="e">
        <f>(K38+K185+K209+#REF!)</f>
        <v>#VALUE!</v>
      </c>
      <c r="L244" s="120" t="e">
        <f>(L38+L185+L209+#REF!)</f>
        <v>#VALUE!</v>
      </c>
      <c r="M244" s="120" t="e">
        <f>(M38+M185+M209+#REF!)</f>
        <v>#VALUE!</v>
      </c>
      <c r="N244" s="120"/>
      <c r="O244" s="120"/>
      <c r="P244" s="120" t="e">
        <f>(P38+P185+P209+#REF!)</f>
        <v>#VALUE!</v>
      </c>
      <c r="Q244" s="120" t="e">
        <f>(Q38+Q185+Q209+#REF!)</f>
        <v>#VALUE!</v>
      </c>
      <c r="R244" s="120" t="e">
        <f>(R38+R185+R209+#REF!)</f>
        <v>#VALUE!</v>
      </c>
      <c r="S244" s="120" t="e">
        <f>(S38+S185+S209+#REF!)</f>
        <v>#VALUE!</v>
      </c>
      <c r="T244" s="120"/>
    </row>
    <row r="245" spans="1:20" hidden="1" x14ac:dyDescent="0.35">
      <c r="A245" s="121">
        <v>7</v>
      </c>
      <c r="B245" s="137" t="s">
        <v>86</v>
      </c>
      <c r="C245" s="120"/>
      <c r="D245" s="120"/>
      <c r="E245" s="319"/>
      <c r="F245" s="64"/>
      <c r="G245" s="120" t="e">
        <f>(G39+G186+G210+#REF!)</f>
        <v>#VALUE!</v>
      </c>
      <c r="H245" s="120" t="e">
        <f>(H39+H186+H210+#REF!)</f>
        <v>#VALUE!</v>
      </c>
      <c r="I245" s="120"/>
      <c r="J245" s="120" t="e">
        <f>(J39+J186+J210+#REF!)</f>
        <v>#VALUE!</v>
      </c>
      <c r="K245" s="120" t="e">
        <f>(K39+K186+K210+#REF!)</f>
        <v>#VALUE!</v>
      </c>
      <c r="L245" s="120" t="e">
        <f>(L39+L186+L210+#REF!)</f>
        <v>#VALUE!</v>
      </c>
      <c r="M245" s="120" t="e">
        <f>(M39+M186+M210+#REF!)</f>
        <v>#VALUE!</v>
      </c>
      <c r="N245" s="120"/>
      <c r="O245" s="120"/>
      <c r="P245" s="120" t="e">
        <f>(P39+P186+P210+#REF!)</f>
        <v>#VALUE!</v>
      </c>
      <c r="Q245" s="120" t="e">
        <f>(Q39+Q186+Q210+#REF!)</f>
        <v>#VALUE!</v>
      </c>
      <c r="R245" s="120" t="e">
        <f>(R39+R186+R210+#REF!)</f>
        <v>#VALUE!</v>
      </c>
      <c r="S245" s="120" t="e">
        <f>(S39+S186+S210+#REF!)</f>
        <v>#VALUE!</v>
      </c>
      <c r="T245" s="120"/>
    </row>
    <row r="246" spans="1:20" hidden="1" x14ac:dyDescent="0.35">
      <c r="A246" s="121">
        <v>8</v>
      </c>
      <c r="B246" s="137" t="s">
        <v>60</v>
      </c>
      <c r="C246" s="120"/>
      <c r="D246" s="120"/>
      <c r="E246" s="319"/>
      <c r="F246" s="64"/>
      <c r="G246" s="120" t="e">
        <f>(G40+G187+G211+#REF!)</f>
        <v>#VALUE!</v>
      </c>
      <c r="H246" s="120" t="e">
        <f>(H40+H187+H211+#REF!)</f>
        <v>#VALUE!</v>
      </c>
      <c r="I246" s="120"/>
      <c r="J246" s="120" t="e">
        <f>(J40+J187+J211+#REF!)</f>
        <v>#VALUE!</v>
      </c>
      <c r="K246" s="120" t="e">
        <f>(K40+K187+K211+#REF!)</f>
        <v>#VALUE!</v>
      </c>
      <c r="L246" s="120" t="e">
        <f>(L40+L187+L211+#REF!)</f>
        <v>#VALUE!</v>
      </c>
      <c r="M246" s="120" t="e">
        <f>(M40+M187+M211+#REF!)</f>
        <v>#VALUE!</v>
      </c>
      <c r="N246" s="120"/>
      <c r="O246" s="120"/>
      <c r="P246" s="120" t="e">
        <f>(P40+P187+P211+#REF!)</f>
        <v>#VALUE!</v>
      </c>
      <c r="Q246" s="120" t="e">
        <f>(Q40+Q187+Q211+#REF!)</f>
        <v>#VALUE!</v>
      </c>
      <c r="R246" s="120" t="e">
        <f>(R40+R187+R211+#REF!)</f>
        <v>#VALUE!</v>
      </c>
      <c r="S246" s="120" t="e">
        <f>(S40+S187+S211+#REF!)</f>
        <v>#VALUE!</v>
      </c>
      <c r="T246" s="120"/>
    </row>
    <row r="247" spans="1:20" hidden="1" x14ac:dyDescent="0.35">
      <c r="A247" s="121">
        <v>9</v>
      </c>
      <c r="B247" s="137" t="s">
        <v>75</v>
      </c>
      <c r="C247" s="120"/>
      <c r="D247" s="120"/>
      <c r="E247" s="319"/>
      <c r="F247" s="64"/>
      <c r="G247" s="120" t="e">
        <f>(G41+G188+G212+#REF!)</f>
        <v>#VALUE!</v>
      </c>
      <c r="H247" s="120" t="e">
        <f>(H41+H188+H212+#REF!)</f>
        <v>#VALUE!</v>
      </c>
      <c r="I247" s="120"/>
      <c r="J247" s="120" t="e">
        <f>(J41+J188+J212+#REF!)</f>
        <v>#VALUE!</v>
      </c>
      <c r="K247" s="120" t="e">
        <f>(K41+K188+K212+#REF!)</f>
        <v>#VALUE!</v>
      </c>
      <c r="L247" s="120" t="e">
        <f>(L41+L188+L212+#REF!)</f>
        <v>#VALUE!</v>
      </c>
      <c r="M247" s="120" t="e">
        <f>(M41+M188+M212+#REF!)</f>
        <v>#VALUE!</v>
      </c>
      <c r="N247" s="120"/>
      <c r="O247" s="120"/>
      <c r="P247" s="120" t="e">
        <f>(P41+P188+P212+#REF!)</f>
        <v>#VALUE!</v>
      </c>
      <c r="Q247" s="120" t="e">
        <f>(Q41+Q188+Q212+#REF!)</f>
        <v>#VALUE!</v>
      </c>
      <c r="R247" s="120" t="e">
        <f>(R41+R188+R212+#REF!)</f>
        <v>#VALUE!</v>
      </c>
      <c r="S247" s="120" t="e">
        <f>(S41+S188+S212+#REF!)</f>
        <v>#VALUE!</v>
      </c>
      <c r="T247" s="120"/>
    </row>
    <row r="248" spans="1:20" hidden="1" x14ac:dyDescent="0.35">
      <c r="A248" s="121">
        <v>10</v>
      </c>
      <c r="B248" s="137" t="s">
        <v>70</v>
      </c>
      <c r="C248" s="120"/>
      <c r="D248" s="120"/>
      <c r="E248" s="319"/>
      <c r="F248" s="64"/>
      <c r="G248" s="120" t="e">
        <f ca="1">(G42+G189+G213+#REF!)</f>
        <v>#VALUE!</v>
      </c>
      <c r="H248" s="120" t="e">
        <f ca="1">(H42+H189+H213+#REF!)</f>
        <v>#VALUE!</v>
      </c>
      <c r="I248" s="120"/>
      <c r="J248" s="120" t="e">
        <f ca="1">(J42+J189+J213+#REF!)</f>
        <v>#VALUE!</v>
      </c>
      <c r="K248" s="120" t="e">
        <f ca="1">(K42+K189+K213+#REF!)</f>
        <v>#VALUE!</v>
      </c>
      <c r="L248" s="120" t="e">
        <f ca="1">(L42+L189+L213+#REF!)</f>
        <v>#VALUE!</v>
      </c>
      <c r="M248" s="120" t="e">
        <f ca="1">(M42+M189+M213+#REF!)</f>
        <v>#VALUE!</v>
      </c>
      <c r="N248" s="120"/>
      <c r="O248" s="120"/>
      <c r="P248" s="120" t="e">
        <f ca="1">(P42+P189+P213+#REF!)</f>
        <v>#VALUE!</v>
      </c>
      <c r="Q248" s="120" t="e">
        <f ca="1">(Q42+Q189+Q213+#REF!)</f>
        <v>#VALUE!</v>
      </c>
      <c r="R248" s="120" t="e">
        <f ca="1">(R42+R189+R213+#REF!)</f>
        <v>#VALUE!</v>
      </c>
      <c r="S248" s="120" t="e">
        <f ca="1">(S42+S189+S213+#REF!)</f>
        <v>#VALUE!</v>
      </c>
      <c r="T248" s="120"/>
    </row>
    <row r="249" spans="1:20" hidden="1" x14ac:dyDescent="0.35">
      <c r="A249" s="121">
        <v>11</v>
      </c>
      <c r="B249" s="137" t="s">
        <v>87</v>
      </c>
      <c r="C249" s="120"/>
      <c r="D249" s="120"/>
      <c r="E249" s="319"/>
      <c r="F249" s="64"/>
      <c r="G249" s="120" t="e">
        <f>(G43+G190+G214+#REF!)</f>
        <v>#VALUE!</v>
      </c>
      <c r="H249" s="120" t="e">
        <f>(H43+H190+H214+#REF!)</f>
        <v>#VALUE!</v>
      </c>
      <c r="I249" s="120"/>
      <c r="J249" s="120" t="e">
        <f>(J43+J190+J214+#REF!)</f>
        <v>#VALUE!</v>
      </c>
      <c r="K249" s="120" t="e">
        <f>(K43+K190+K214+#REF!)</f>
        <v>#VALUE!</v>
      </c>
      <c r="L249" s="120" t="e">
        <f>(L43+L190+L214+#REF!)</f>
        <v>#VALUE!</v>
      </c>
      <c r="M249" s="120" t="e">
        <f>(M43+M190+M214+#REF!)</f>
        <v>#VALUE!</v>
      </c>
      <c r="N249" s="120"/>
      <c r="O249" s="120"/>
      <c r="P249" s="120" t="e">
        <f>(P43+P190+P214+#REF!)</f>
        <v>#VALUE!</v>
      </c>
      <c r="Q249" s="120" t="e">
        <f>(Q43+Q190+Q214+#REF!)</f>
        <v>#VALUE!</v>
      </c>
      <c r="R249" s="120" t="e">
        <f>(R43+R190+R214+#REF!)</f>
        <v>#VALUE!</v>
      </c>
      <c r="S249" s="120" t="e">
        <f>(S43+S190+S214+#REF!)</f>
        <v>#VALUE!</v>
      </c>
      <c r="T249" s="120"/>
    </row>
    <row r="250" spans="1:20" hidden="1" x14ac:dyDescent="0.35">
      <c r="A250" s="121">
        <v>12</v>
      </c>
      <c r="B250" s="137" t="s">
        <v>77</v>
      </c>
      <c r="C250" s="120"/>
      <c r="D250" s="120"/>
      <c r="E250" s="319"/>
      <c r="F250" s="64"/>
      <c r="G250" s="120" t="e">
        <f>(G44+G191+G215+#REF!)</f>
        <v>#VALUE!</v>
      </c>
      <c r="H250" s="120" t="e">
        <f>(H44+H191+H215+#REF!)</f>
        <v>#VALUE!</v>
      </c>
      <c r="I250" s="120"/>
      <c r="J250" s="120" t="e">
        <f>(J44+J191+J215+#REF!)</f>
        <v>#VALUE!</v>
      </c>
      <c r="K250" s="120" t="e">
        <f>(K44+K191+K215+#REF!)</f>
        <v>#VALUE!</v>
      </c>
      <c r="L250" s="120" t="e">
        <f>(L44+L191+L215+#REF!)</f>
        <v>#VALUE!</v>
      </c>
      <c r="M250" s="120" t="e">
        <f>(M44+M191+M215+#REF!)</f>
        <v>#VALUE!</v>
      </c>
      <c r="N250" s="120"/>
      <c r="O250" s="120"/>
      <c r="P250" s="120" t="e">
        <f>(P44+P191+P215+#REF!)</f>
        <v>#VALUE!</v>
      </c>
      <c r="Q250" s="120" t="e">
        <f>(Q44+Q191+Q215+#REF!)</f>
        <v>#VALUE!</v>
      </c>
      <c r="R250" s="120" t="e">
        <f>(R44+R191+R215+#REF!)</f>
        <v>#VALUE!</v>
      </c>
      <c r="S250" s="120" t="e">
        <f>(S44+S191+S215+#REF!)</f>
        <v>#VALUE!</v>
      </c>
      <c r="T250" s="120"/>
    </row>
    <row r="251" spans="1:20" hidden="1" x14ac:dyDescent="0.35">
      <c r="A251" s="121">
        <v>13</v>
      </c>
      <c r="B251" s="137" t="s">
        <v>72</v>
      </c>
      <c r="C251" s="120"/>
      <c r="D251" s="120"/>
      <c r="E251" s="319"/>
      <c r="F251" s="64"/>
      <c r="G251" s="120" t="e">
        <f>(G45+G192+G216+#REF!)</f>
        <v>#VALUE!</v>
      </c>
      <c r="H251" s="120" t="e">
        <f>(H45+H192+H216+#REF!)</f>
        <v>#VALUE!</v>
      </c>
      <c r="I251" s="120"/>
      <c r="J251" s="120" t="e">
        <f>(J45+J192+J216+#REF!)</f>
        <v>#VALUE!</v>
      </c>
      <c r="K251" s="120" t="e">
        <f>(K45+K192+K216+#REF!)</f>
        <v>#VALUE!</v>
      </c>
      <c r="L251" s="120" t="e">
        <f>(L45+L192+L216+#REF!)</f>
        <v>#VALUE!</v>
      </c>
      <c r="M251" s="120" t="e">
        <f>(M45+M192+M216+#REF!)</f>
        <v>#VALUE!</v>
      </c>
      <c r="N251" s="120"/>
      <c r="O251" s="120"/>
      <c r="P251" s="120" t="e">
        <f>(P45+P192+P216+#REF!)</f>
        <v>#VALUE!</v>
      </c>
      <c r="Q251" s="120" t="e">
        <f>(Q45+Q192+Q216+#REF!)</f>
        <v>#VALUE!</v>
      </c>
      <c r="R251" s="120" t="e">
        <f>(R45+R192+R216+#REF!)</f>
        <v>#VALUE!</v>
      </c>
      <c r="S251" s="120" t="e">
        <f>(S45+S192+S216+#REF!)</f>
        <v>#VALUE!</v>
      </c>
      <c r="T251" s="120"/>
    </row>
    <row r="252" spans="1:20" hidden="1" x14ac:dyDescent="0.35">
      <c r="A252" s="121">
        <v>14</v>
      </c>
      <c r="B252" s="137" t="s">
        <v>68</v>
      </c>
      <c r="C252" s="120"/>
      <c r="D252" s="120"/>
      <c r="E252" s="319"/>
      <c r="F252" s="64"/>
      <c r="G252" s="120" t="e">
        <f>(G46+G193+G217+#REF!)</f>
        <v>#VALUE!</v>
      </c>
      <c r="H252" s="120" t="e">
        <f>(H46+H193+H217+#REF!)</f>
        <v>#VALUE!</v>
      </c>
      <c r="I252" s="120"/>
      <c r="J252" s="120" t="e">
        <f>(J46+J193+J217+#REF!)</f>
        <v>#VALUE!</v>
      </c>
      <c r="K252" s="120" t="e">
        <f>(K46+K193+K217+#REF!)</f>
        <v>#VALUE!</v>
      </c>
      <c r="L252" s="120" t="e">
        <f>(L46+L193+L217+#REF!)</f>
        <v>#VALUE!</v>
      </c>
      <c r="M252" s="120" t="e">
        <f>(M46+M193+M217+#REF!)</f>
        <v>#VALUE!</v>
      </c>
      <c r="N252" s="120"/>
      <c r="O252" s="120"/>
      <c r="P252" s="120" t="e">
        <f>(P46+P193+P217+#REF!)</f>
        <v>#VALUE!</v>
      </c>
      <c r="Q252" s="120" t="e">
        <f>(Q46+Q193+Q217+#REF!)</f>
        <v>#VALUE!</v>
      </c>
      <c r="R252" s="120" t="e">
        <f>(R46+R193+R217+#REF!)</f>
        <v>#VALUE!</v>
      </c>
      <c r="S252" s="120" t="e">
        <f>(S46+S193+S217+#REF!)</f>
        <v>#VALUE!</v>
      </c>
      <c r="T252" s="120"/>
    </row>
    <row r="253" spans="1:20" hidden="1" x14ac:dyDescent="0.35">
      <c r="A253" s="121">
        <v>15</v>
      </c>
      <c r="B253" s="137" t="s">
        <v>88</v>
      </c>
      <c r="C253" s="120"/>
      <c r="D253" s="120"/>
      <c r="E253" s="319"/>
      <c r="F253" s="64"/>
      <c r="G253" s="120" t="e">
        <f>(G47+G194+G218+#REF!)</f>
        <v>#VALUE!</v>
      </c>
      <c r="H253" s="120" t="e">
        <f>(H47+H194+H218+#REF!)</f>
        <v>#VALUE!</v>
      </c>
      <c r="I253" s="120"/>
      <c r="J253" s="120" t="e">
        <f>(J47+J194+J218+#REF!)</f>
        <v>#VALUE!</v>
      </c>
      <c r="K253" s="120" t="e">
        <f>(K47+K194+K218+#REF!)</f>
        <v>#VALUE!</v>
      </c>
      <c r="L253" s="120" t="e">
        <f>(L47+L194+L218+#REF!)</f>
        <v>#VALUE!</v>
      </c>
      <c r="M253" s="120" t="e">
        <f>(M47+M194+M218+#REF!)</f>
        <v>#VALUE!</v>
      </c>
      <c r="N253" s="120"/>
      <c r="O253" s="120"/>
      <c r="P253" s="120" t="e">
        <f>(P47+P194+P218+#REF!)</f>
        <v>#VALUE!</v>
      </c>
      <c r="Q253" s="120" t="e">
        <f>(Q47+Q194+Q218+#REF!)</f>
        <v>#VALUE!</v>
      </c>
      <c r="R253" s="120" t="e">
        <f>(R47+R194+R218+#REF!)</f>
        <v>#VALUE!</v>
      </c>
      <c r="S253" s="120" t="e">
        <f>(S47+S194+S218+#REF!)</f>
        <v>#VALUE!</v>
      </c>
      <c r="T253" s="120"/>
    </row>
    <row r="254" spans="1:20" hidden="1" x14ac:dyDescent="0.35">
      <c r="A254" s="121">
        <v>16</v>
      </c>
      <c r="B254" s="137" t="s">
        <v>64</v>
      </c>
      <c r="C254" s="120"/>
      <c r="D254" s="120"/>
      <c r="E254" s="319"/>
      <c r="F254" s="64"/>
      <c r="G254" s="65" t="e">
        <f>(G48+G195+G219+#REF!)</f>
        <v>#VALUE!</v>
      </c>
      <c r="H254" s="65" t="e">
        <f>(H48+H195+H219+#REF!)</f>
        <v>#VALUE!</v>
      </c>
      <c r="I254" s="65"/>
      <c r="J254" s="65" t="e">
        <f>(J48+J195+J219+#REF!)</f>
        <v>#VALUE!</v>
      </c>
      <c r="K254" s="65" t="e">
        <f>(K48+K195+K219+#REF!)</f>
        <v>#VALUE!</v>
      </c>
      <c r="L254" s="65" t="e">
        <f>(L48+L195+L219+#REF!)</f>
        <v>#VALUE!</v>
      </c>
      <c r="M254" s="65" t="e">
        <f>(M48+M195+M219+#REF!)</f>
        <v>#VALUE!</v>
      </c>
      <c r="N254" s="65"/>
      <c r="O254" s="65"/>
      <c r="P254" s="65" t="e">
        <f>(P48+P195+P219+#REF!)</f>
        <v>#VALUE!</v>
      </c>
      <c r="Q254" s="65" t="e">
        <f>(Q48+Q195+Q219+#REF!)</f>
        <v>#VALUE!</v>
      </c>
      <c r="R254" s="65" t="e">
        <f>(R48+R195+R219+#REF!)</f>
        <v>#VALUE!</v>
      </c>
      <c r="S254" s="65" t="e">
        <f>(S48+S195+S219+#REF!)</f>
        <v>#VALUE!</v>
      </c>
      <c r="T254" s="65"/>
    </row>
    <row r="255" spans="1:20" hidden="1" x14ac:dyDescent="0.35">
      <c r="A255" s="121">
        <v>17</v>
      </c>
      <c r="B255" s="137" t="s">
        <v>65</v>
      </c>
      <c r="C255" s="120"/>
      <c r="D255" s="120"/>
      <c r="E255" s="319"/>
      <c r="F255" s="64"/>
      <c r="G255" s="65" t="e">
        <f>(#REF!+G196+G220+#REF!)</f>
        <v>#REF!</v>
      </c>
      <c r="H255" s="65" t="e">
        <f>(#REF!+H196+H220+#REF!)</f>
        <v>#REF!</v>
      </c>
      <c r="I255" s="65"/>
      <c r="J255" s="65" t="e">
        <f>(#REF!+J196+J220+#REF!)</f>
        <v>#REF!</v>
      </c>
      <c r="K255" s="65" t="e">
        <f>(#REF!+K196+K220+#REF!)</f>
        <v>#REF!</v>
      </c>
      <c r="L255" s="65" t="e">
        <f>(#REF!+L196+L220+#REF!)</f>
        <v>#REF!</v>
      </c>
      <c r="M255" s="65" t="e">
        <f>(#REF!+M196+M220+#REF!)</f>
        <v>#REF!</v>
      </c>
      <c r="N255" s="65"/>
      <c r="O255" s="65"/>
      <c r="P255" s="65" t="e">
        <f>(#REF!+P196+P220+#REF!)</f>
        <v>#REF!</v>
      </c>
      <c r="Q255" s="65" t="e">
        <f>(#REF!+Q196+Q220+#REF!)</f>
        <v>#REF!</v>
      </c>
      <c r="R255" s="65" t="e">
        <f>(#REF!+R196+R220+#REF!)</f>
        <v>#REF!</v>
      </c>
      <c r="S255" s="65" t="e">
        <f>(#REF!+S196+S220+#REF!)</f>
        <v>#REF!</v>
      </c>
      <c r="T255" s="65"/>
    </row>
    <row r="256" spans="1:20" hidden="1" x14ac:dyDescent="0.35">
      <c r="A256" s="121">
        <v>18</v>
      </c>
      <c r="B256" s="137" t="s">
        <v>79</v>
      </c>
      <c r="C256" s="120"/>
      <c r="D256" s="120"/>
      <c r="E256" s="320"/>
      <c r="F256" s="64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</row>
    <row r="257" spans="1:22" hidden="1" x14ac:dyDescent="0.35">
      <c r="A257" s="121">
        <v>19</v>
      </c>
      <c r="B257" s="137" t="s">
        <v>66</v>
      </c>
      <c r="C257" s="120"/>
      <c r="D257" s="120"/>
      <c r="E257" s="320"/>
      <c r="F257" s="64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</row>
    <row r="258" spans="1:22" hidden="1" x14ac:dyDescent="0.35">
      <c r="C258" s="5"/>
      <c r="D258" s="5"/>
      <c r="E258" s="6" t="e">
        <f>VLOOKUP(Control!$B$19,Table5,Data!#REF!,FALSE)</f>
        <v>#REF!</v>
      </c>
      <c r="F258" s="6"/>
      <c r="G258" s="6" t="e">
        <f>VLOOKUP(Control!$B$19,Table5,Data!#REF!,FALSE)</f>
        <v>#REF!</v>
      </c>
      <c r="H258" s="6" t="e">
        <f>VLOOKUP(Control!$B$19,Table5,Data!#REF!,FALSE)</f>
        <v>#REF!</v>
      </c>
      <c r="I258" s="6"/>
      <c r="J258" s="6"/>
      <c r="K258" s="6"/>
      <c r="L258" s="6"/>
      <c r="M258" s="6"/>
      <c r="N258" s="6"/>
      <c r="O258" s="6"/>
      <c r="P258" s="6" t="e">
        <f>VLOOKUP(Control!$B$19,Table5,Data!#REF!,FALSE)</f>
        <v>#REF!</v>
      </c>
      <c r="Q258" s="6" t="e">
        <f>VLOOKUP(Control!$B$19,Table5,Data!#REF!,FALSE)</f>
        <v>#REF!</v>
      </c>
      <c r="R258" s="6"/>
      <c r="S258" s="6"/>
      <c r="T258" s="6"/>
    </row>
    <row r="259" spans="1:22" hidden="1" x14ac:dyDescent="0.35"/>
    <row r="260" spans="1:22" hidden="1" x14ac:dyDescent="0.35"/>
    <row r="261" spans="1:22" hidden="1" x14ac:dyDescent="0.35"/>
    <row r="262" spans="1:22" hidden="1" x14ac:dyDescent="0.35"/>
    <row r="263" spans="1:22" hidden="1" x14ac:dyDescent="0.35"/>
    <row r="264" spans="1:22" hidden="1" x14ac:dyDescent="0.35"/>
    <row r="265" spans="1:22" hidden="1" x14ac:dyDescent="0.35"/>
    <row r="266" spans="1:22" hidden="1" x14ac:dyDescent="0.35"/>
    <row r="267" spans="1:22" hidden="1" x14ac:dyDescent="0.35"/>
    <row r="268" spans="1:22" ht="21" hidden="1" x14ac:dyDescent="0.35">
      <c r="A268" s="12" t="s">
        <v>12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</row>
    <row r="269" spans="1:22" hidden="1" x14ac:dyDescent="0.35"/>
    <row r="270" spans="1:22" hidden="1" x14ac:dyDescent="0.35">
      <c r="C270" s="7" t="s">
        <v>5</v>
      </c>
      <c r="D270" s="7"/>
      <c r="E270" s="499" t="s">
        <v>1</v>
      </c>
      <c r="F270" s="499"/>
      <c r="G270" s="499"/>
      <c r="H270" s="499"/>
      <c r="I270" s="122"/>
      <c r="J270" s="30"/>
      <c r="K270" s="30"/>
      <c r="L270" s="30"/>
      <c r="M270" s="30"/>
      <c r="N270" s="122"/>
      <c r="O270" s="122"/>
    </row>
    <row r="271" spans="1:22" hidden="1" x14ac:dyDescent="0.35">
      <c r="C271" s="10" t="str">
        <f ca="1">E50</f>
        <v>Gloucester, Gloucestershire Hospitals</v>
      </c>
      <c r="D271" s="10"/>
      <c r="E271" s="11"/>
      <c r="F271" s="11"/>
      <c r="G271" s="11"/>
      <c r="H271" s="11"/>
      <c r="I271" s="11"/>
      <c r="J271" s="9"/>
      <c r="K271" s="9"/>
      <c r="L271" s="9"/>
      <c r="M271" s="9"/>
      <c r="N271" s="9"/>
      <c r="O271" s="9"/>
      <c r="P271" s="9"/>
    </row>
    <row r="272" spans="1:22" hidden="1" x14ac:dyDescent="0.35">
      <c r="C272" s="11"/>
      <c r="D272" s="11"/>
      <c r="E272" s="11" t="s">
        <v>6</v>
      </c>
      <c r="F272" s="11" t="s">
        <v>7</v>
      </c>
      <c r="G272" s="11" t="s">
        <v>8</v>
      </c>
      <c r="H272" s="11" t="s">
        <v>9</v>
      </c>
      <c r="I272" s="11"/>
      <c r="J272" s="9"/>
      <c r="K272" s="9"/>
      <c r="L272" s="9"/>
      <c r="M272" s="9"/>
      <c r="N272" s="9"/>
      <c r="O272" s="9"/>
      <c r="P272" s="9"/>
    </row>
    <row r="273" spans="3:18" hidden="1" x14ac:dyDescent="0.35">
      <c r="C273" s="11" t="s">
        <v>2</v>
      </c>
      <c r="D273" s="11"/>
      <c r="E273" s="11">
        <v>19</v>
      </c>
      <c r="F273" s="11">
        <v>16</v>
      </c>
      <c r="G273" s="11">
        <v>15</v>
      </c>
      <c r="H273" s="11">
        <v>23</v>
      </c>
      <c r="I273" s="11"/>
      <c r="J273" s="9"/>
      <c r="K273" s="9"/>
      <c r="L273" s="9"/>
      <c r="M273" s="9"/>
      <c r="N273" s="9"/>
      <c r="O273" s="9"/>
      <c r="P273" s="9"/>
    </row>
    <row r="274" spans="3:18" hidden="1" x14ac:dyDescent="0.35">
      <c r="C274" s="11" t="s">
        <v>3</v>
      </c>
      <c r="D274" s="11"/>
      <c r="E274" s="11">
        <f ca="1">H50</f>
        <v>18.8</v>
      </c>
      <c r="F274" s="11" t="str">
        <f>H173</f>
        <v>No data</v>
      </c>
      <c r="G274" s="11" t="str">
        <f>H198</f>
        <v>No data</v>
      </c>
      <c r="H274" s="11" t="e">
        <f>#REF!</f>
        <v>#REF!</v>
      </c>
      <c r="I274" s="11"/>
    </row>
    <row r="275" spans="3:18" hidden="1" x14ac:dyDescent="0.35">
      <c r="R275" s="1" t="s">
        <v>73</v>
      </c>
    </row>
    <row r="276" spans="3:18" hidden="1" x14ac:dyDescent="0.35"/>
  </sheetData>
  <mergeCells count="127">
    <mergeCell ref="D182:D184"/>
    <mergeCell ref="F182:F184"/>
    <mergeCell ref="I182:T182"/>
    <mergeCell ref="I183:N183"/>
    <mergeCell ref="O183:T183"/>
    <mergeCell ref="U157:V157"/>
    <mergeCell ref="G158:G159"/>
    <mergeCell ref="H158:H159"/>
    <mergeCell ref="U158:U159"/>
    <mergeCell ref="C29:C31"/>
    <mergeCell ref="D29:D31"/>
    <mergeCell ref="D55:D57"/>
    <mergeCell ref="C55:C57"/>
    <mergeCell ref="E270:H270"/>
    <mergeCell ref="E210:E212"/>
    <mergeCell ref="H211:H212"/>
    <mergeCell ref="C106:C108"/>
    <mergeCell ref="E106:E108"/>
    <mergeCell ref="D106:D108"/>
    <mergeCell ref="F106:F108"/>
    <mergeCell ref="D131:D133"/>
    <mergeCell ref="F131:F133"/>
    <mergeCell ref="C236:C238"/>
    <mergeCell ref="G132:G133"/>
    <mergeCell ref="H132:H133"/>
    <mergeCell ref="E157:E159"/>
    <mergeCell ref="G157:H157"/>
    <mergeCell ref="C182:C184"/>
    <mergeCell ref="C80:C82"/>
    <mergeCell ref="G183:G184"/>
    <mergeCell ref="H183:H184"/>
    <mergeCell ref="D157:D159"/>
    <mergeCell ref="F157:F159"/>
    <mergeCell ref="D236:D238"/>
    <mergeCell ref="V211:V212"/>
    <mergeCell ref="C210:C212"/>
    <mergeCell ref="G210:H210"/>
    <mergeCell ref="U210:V210"/>
    <mergeCell ref="G211:G212"/>
    <mergeCell ref="U211:U212"/>
    <mergeCell ref="D210:D212"/>
    <mergeCell ref="J236:S236"/>
    <mergeCell ref="E236:E238"/>
    <mergeCell ref="G236:H236"/>
    <mergeCell ref="G237:G238"/>
    <mergeCell ref="H237:H238"/>
    <mergeCell ref="J237:M237"/>
    <mergeCell ref="P237:S237"/>
    <mergeCell ref="F210:F212"/>
    <mergeCell ref="I210:T210"/>
    <mergeCell ref="I211:N211"/>
    <mergeCell ref="O211:T211"/>
    <mergeCell ref="E80:E82"/>
    <mergeCell ref="G80:H80"/>
    <mergeCell ref="U80:V80"/>
    <mergeCell ref="G81:G82"/>
    <mergeCell ref="H81:H82"/>
    <mergeCell ref="U81:U82"/>
    <mergeCell ref="V81:V82"/>
    <mergeCell ref="E182:E184"/>
    <mergeCell ref="G182:H182"/>
    <mergeCell ref="V158:V159"/>
    <mergeCell ref="U131:V131"/>
    <mergeCell ref="U132:U133"/>
    <mergeCell ref="U182:V182"/>
    <mergeCell ref="U183:U184"/>
    <mergeCell ref="V183:V184"/>
    <mergeCell ref="I157:T157"/>
    <mergeCell ref="I158:N158"/>
    <mergeCell ref="O158:T158"/>
    <mergeCell ref="V132:V133"/>
    <mergeCell ref="I131:T131"/>
    <mergeCell ref="I132:N132"/>
    <mergeCell ref="O132:T132"/>
    <mergeCell ref="I107:N107"/>
    <mergeCell ref="O107:T107"/>
    <mergeCell ref="C131:C133"/>
    <mergeCell ref="C157:C159"/>
    <mergeCell ref="G131:H131"/>
    <mergeCell ref="E131:E133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9:V29"/>
    <mergeCell ref="H30:H31"/>
    <mergeCell ref="U30:U31"/>
    <mergeCell ref="V30:V31"/>
    <mergeCell ref="U55:V55"/>
    <mergeCell ref="D80:D82"/>
    <mergeCell ref="F80:F82"/>
    <mergeCell ref="E55:E57"/>
    <mergeCell ref="G55:H55"/>
    <mergeCell ref="G56:G57"/>
    <mergeCell ref="E29:E31"/>
    <mergeCell ref="G29:H29"/>
    <mergeCell ref="H56:H57"/>
    <mergeCell ref="F29:F31"/>
    <mergeCell ref="I29:T29"/>
    <mergeCell ref="I30:N30"/>
    <mergeCell ref="O30:T30"/>
    <mergeCell ref="F55:F57"/>
    <mergeCell ref="I55:T55"/>
    <mergeCell ref="I56:N56"/>
    <mergeCell ref="O56:T56"/>
    <mergeCell ref="G30:G31"/>
    <mergeCell ref="I106:T106"/>
    <mergeCell ref="G106:H106"/>
    <mergeCell ref="U106:V106"/>
    <mergeCell ref="U107:U108"/>
    <mergeCell ref="V107:V108"/>
    <mergeCell ref="U56:U57"/>
    <mergeCell ref="V56:V57"/>
    <mergeCell ref="G107:G108"/>
    <mergeCell ref="H107:H108"/>
    <mergeCell ref="I80:T80"/>
    <mergeCell ref="I81:N81"/>
    <mergeCell ref="O81:T8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zoomScale="90" zoomScaleNormal="90" workbookViewId="0">
      <selection sqref="A1:XFD1048576"/>
    </sheetView>
  </sheetViews>
  <sheetFormatPr defaultColWidth="8.7265625" defaultRowHeight="14.5" x14ac:dyDescent="0.35"/>
  <cols>
    <col min="1" max="16" width="12.26953125" style="39" customWidth="1"/>
    <col min="17" max="16384" width="8.7265625" style="39"/>
  </cols>
  <sheetData>
    <row r="1" spans="1:12" ht="23.5" x14ac:dyDescent="0.55000000000000004">
      <c r="B1" s="191" t="s">
        <v>180</v>
      </c>
    </row>
    <row r="3" spans="1:12" x14ac:dyDescent="0.35">
      <c r="A3" s="229"/>
      <c r="B3" s="40" t="s">
        <v>176</v>
      </c>
      <c r="E3" s="229"/>
    </row>
    <row r="4" spans="1:12" x14ac:dyDescent="0.35">
      <c r="A4" s="229"/>
      <c r="B4" s="40" t="s">
        <v>177</v>
      </c>
      <c r="E4" s="229"/>
    </row>
    <row r="5" spans="1:12" x14ac:dyDescent="0.35">
      <c r="A5" s="229"/>
      <c r="B5" s="40" t="s">
        <v>178</v>
      </c>
      <c r="E5" s="229"/>
    </row>
    <row r="6" spans="1:12" s="125" customFormat="1" ht="21" x14ac:dyDescent="0.5">
      <c r="A6" s="230"/>
      <c r="B6" s="124" t="s">
        <v>132</v>
      </c>
      <c r="E6" s="230"/>
    </row>
    <row r="7" spans="1:12" s="127" customFormat="1" ht="43.5" customHeight="1" x14ac:dyDescent="0.5">
      <c r="A7" s="231"/>
      <c r="B7" s="128" t="s">
        <v>194</v>
      </c>
      <c r="E7" s="231"/>
    </row>
    <row r="8" spans="1:12" x14ac:dyDescent="0.35">
      <c r="B8" s="40" t="s">
        <v>133</v>
      </c>
      <c r="H8" s="229"/>
      <c r="I8" s="232" t="s">
        <v>67</v>
      </c>
      <c r="J8" s="229"/>
      <c r="K8" s="229"/>
      <c r="L8" s="229"/>
    </row>
    <row r="9" spans="1:12" ht="29" x14ac:dyDescent="0.35">
      <c r="A9" s="168"/>
      <c r="B9" s="181"/>
      <c r="C9" s="173" t="s">
        <v>13</v>
      </c>
      <c r="D9" s="173" t="s">
        <v>21</v>
      </c>
      <c r="E9" s="174" t="s">
        <v>37</v>
      </c>
      <c r="H9" s="168"/>
      <c r="I9" s="164"/>
      <c r="J9" s="173" t="s">
        <v>13</v>
      </c>
      <c r="K9" s="173" t="s">
        <v>21</v>
      </c>
      <c r="L9" s="174" t="s">
        <v>37</v>
      </c>
    </row>
    <row r="10" spans="1:12" x14ac:dyDescent="0.35">
      <c r="A10" s="169">
        <v>1</v>
      </c>
      <c r="B10" s="175" t="s">
        <v>195</v>
      </c>
      <c r="C10" s="176" t="e">
        <f t="shared" ref="C10:C27" si="0">IF(INDEX(Q1_Paeds,4+$A10,7)="No data",NA(),INDEX(Q1_Paeds,4+$A10,7))</f>
        <v>#N/A</v>
      </c>
      <c r="D10" s="176" t="e">
        <f t="shared" ref="D10:D27" si="1">IF(INDEX(Q1_Paeds,4+$A10,8)="No data",NA(),INDEX(Q1_Paeds,4+$A10,8))</f>
        <v>#N/A</v>
      </c>
      <c r="E10" s="177" t="e">
        <f t="shared" ref="E10:E27" si="2">MAX(C10:D10)</f>
        <v>#N/A</v>
      </c>
      <c r="H10" s="169">
        <v>7</v>
      </c>
      <c r="I10" s="175" t="s">
        <v>203</v>
      </c>
      <c r="J10" s="176" t="e">
        <f t="shared" ref="J10:J27" si="3">IF(INDEX(Q1_Adult,4+$H10,7)="No data",NA(),INDEX(Q1_Adult,4+$H10,7))</f>
        <v>#N/A</v>
      </c>
      <c r="K10" s="176" t="e">
        <f t="shared" ref="K10:K27" si="4">IF(INDEX(Q1_Adult,4+$H10,8)="No data",NA(),INDEX(Q1_Adult,4+$H10,8))</f>
        <v>#N/A</v>
      </c>
      <c r="L10" s="177" t="e">
        <f t="shared" ref="L10:L27" si="5">MAX(J10:K10)</f>
        <v>#N/A</v>
      </c>
    </row>
    <row r="11" spans="1:12" x14ac:dyDescent="0.35">
      <c r="A11" s="169">
        <v>3</v>
      </c>
      <c r="B11" s="175" t="s">
        <v>197</v>
      </c>
      <c r="C11" s="176" t="e">
        <f t="shared" si="0"/>
        <v>#N/A</v>
      </c>
      <c r="D11" s="176" t="e">
        <f t="shared" si="1"/>
        <v>#N/A</v>
      </c>
      <c r="E11" s="177" t="e">
        <f t="shared" si="2"/>
        <v>#N/A</v>
      </c>
      <c r="H11" s="169">
        <v>8</v>
      </c>
      <c r="I11" s="175" t="s">
        <v>200</v>
      </c>
      <c r="J11" s="176" t="e">
        <f t="shared" si="3"/>
        <v>#N/A</v>
      </c>
      <c r="K11" s="176" t="e">
        <f t="shared" si="4"/>
        <v>#N/A</v>
      </c>
      <c r="L11" s="177" t="e">
        <f t="shared" si="5"/>
        <v>#N/A</v>
      </c>
    </row>
    <row r="12" spans="1:12" x14ac:dyDescent="0.35">
      <c r="A12" s="169">
        <v>9</v>
      </c>
      <c r="B12" s="175" t="s">
        <v>82</v>
      </c>
      <c r="C12" s="176" t="e">
        <f t="shared" si="0"/>
        <v>#N/A</v>
      </c>
      <c r="D12" s="176" t="e">
        <f t="shared" si="1"/>
        <v>#N/A</v>
      </c>
      <c r="E12" s="177" t="e">
        <f t="shared" si="2"/>
        <v>#N/A</v>
      </c>
      <c r="H12" s="169">
        <v>9</v>
      </c>
      <c r="I12" s="175" t="s">
        <v>82</v>
      </c>
      <c r="J12" s="176" t="e">
        <f t="shared" si="3"/>
        <v>#N/A</v>
      </c>
      <c r="K12" s="176" t="e">
        <f t="shared" si="4"/>
        <v>#N/A</v>
      </c>
      <c r="L12" s="177" t="e">
        <f t="shared" si="5"/>
        <v>#N/A</v>
      </c>
    </row>
    <row r="13" spans="1:12" x14ac:dyDescent="0.35">
      <c r="A13" s="169">
        <v>2</v>
      </c>
      <c r="B13" s="175" t="s">
        <v>196</v>
      </c>
      <c r="C13" s="176">
        <f t="shared" si="0"/>
        <v>5</v>
      </c>
      <c r="D13" s="176">
        <f t="shared" si="1"/>
        <v>0</v>
      </c>
      <c r="E13" s="177">
        <f t="shared" si="2"/>
        <v>5</v>
      </c>
      <c r="H13" s="169">
        <v>10</v>
      </c>
      <c r="I13" s="175" t="s">
        <v>83</v>
      </c>
      <c r="J13" s="176" t="e">
        <f t="shared" si="3"/>
        <v>#N/A</v>
      </c>
      <c r="K13" s="176" t="e">
        <f t="shared" si="4"/>
        <v>#N/A</v>
      </c>
      <c r="L13" s="177" t="e">
        <f t="shared" si="5"/>
        <v>#N/A</v>
      </c>
    </row>
    <row r="14" spans="1:12" x14ac:dyDescent="0.35">
      <c r="A14" s="169">
        <v>15</v>
      </c>
      <c r="B14" s="175" t="s">
        <v>60</v>
      </c>
      <c r="C14" s="176">
        <f t="shared" si="0"/>
        <v>7</v>
      </c>
      <c r="D14" s="176">
        <f t="shared" si="1"/>
        <v>7</v>
      </c>
      <c r="E14" s="177">
        <f t="shared" si="2"/>
        <v>7</v>
      </c>
      <c r="H14" s="169">
        <v>12</v>
      </c>
      <c r="I14" s="175" t="s">
        <v>84</v>
      </c>
      <c r="J14" s="176" t="e">
        <f t="shared" si="3"/>
        <v>#N/A</v>
      </c>
      <c r="K14" s="176" t="e">
        <f t="shared" si="4"/>
        <v>#N/A</v>
      </c>
      <c r="L14" s="177" t="e">
        <f t="shared" si="5"/>
        <v>#N/A</v>
      </c>
    </row>
    <row r="15" spans="1:12" x14ac:dyDescent="0.35">
      <c r="A15" s="169">
        <v>17</v>
      </c>
      <c r="B15" s="175" t="s">
        <v>70</v>
      </c>
      <c r="C15" s="176">
        <f t="shared" si="0"/>
        <v>8</v>
      </c>
      <c r="D15" s="176">
        <f t="shared" si="1"/>
        <v>4</v>
      </c>
      <c r="E15" s="177">
        <f t="shared" si="2"/>
        <v>8</v>
      </c>
      <c r="H15" s="169">
        <v>15</v>
      </c>
      <c r="I15" s="175" t="s">
        <v>60</v>
      </c>
      <c r="J15" s="176" t="e">
        <f t="shared" si="3"/>
        <v>#N/A</v>
      </c>
      <c r="K15" s="176" t="e">
        <f t="shared" si="4"/>
        <v>#N/A</v>
      </c>
      <c r="L15" s="177" t="e">
        <f t="shared" si="5"/>
        <v>#N/A</v>
      </c>
    </row>
    <row r="16" spans="1:12" x14ac:dyDescent="0.35">
      <c r="A16" s="169">
        <v>10</v>
      </c>
      <c r="B16" s="175" t="s">
        <v>83</v>
      </c>
      <c r="C16" s="176">
        <f t="shared" si="0"/>
        <v>10</v>
      </c>
      <c r="D16" s="176">
        <f t="shared" si="1"/>
        <v>7</v>
      </c>
      <c r="E16" s="177">
        <f t="shared" si="2"/>
        <v>10</v>
      </c>
      <c r="H16" s="169">
        <v>17</v>
      </c>
      <c r="I16" s="175" t="s">
        <v>70</v>
      </c>
      <c r="J16" s="176" t="e">
        <f t="shared" si="3"/>
        <v>#N/A</v>
      </c>
      <c r="K16" s="176" t="e">
        <f t="shared" si="4"/>
        <v>#N/A</v>
      </c>
      <c r="L16" s="177" t="e">
        <f t="shared" si="5"/>
        <v>#N/A</v>
      </c>
    </row>
    <row r="17" spans="1:16" x14ac:dyDescent="0.35">
      <c r="A17" s="169">
        <v>4</v>
      </c>
      <c r="B17" s="175" t="s">
        <v>198</v>
      </c>
      <c r="C17" s="176">
        <f t="shared" si="0"/>
        <v>9</v>
      </c>
      <c r="D17" s="176">
        <f t="shared" si="1"/>
        <v>11</v>
      </c>
      <c r="E17" s="177">
        <f t="shared" si="2"/>
        <v>11</v>
      </c>
      <c r="H17" s="169">
        <v>18</v>
      </c>
      <c r="I17" s="175" t="s">
        <v>87</v>
      </c>
      <c r="J17" s="176" t="e">
        <f t="shared" si="3"/>
        <v>#N/A</v>
      </c>
      <c r="K17" s="176" t="e">
        <f t="shared" si="4"/>
        <v>#N/A</v>
      </c>
      <c r="L17" s="177" t="e">
        <f t="shared" si="5"/>
        <v>#N/A</v>
      </c>
    </row>
    <row r="18" spans="1:16" x14ac:dyDescent="0.35">
      <c r="A18" s="169">
        <v>14</v>
      </c>
      <c r="B18" s="175" t="s">
        <v>86</v>
      </c>
      <c r="C18" s="176">
        <f t="shared" si="0"/>
        <v>11</v>
      </c>
      <c r="D18" s="176">
        <f t="shared" si="1"/>
        <v>5</v>
      </c>
      <c r="E18" s="177">
        <f t="shared" si="2"/>
        <v>11</v>
      </c>
      <c r="H18" s="169">
        <v>1</v>
      </c>
      <c r="I18" s="175" t="s">
        <v>195</v>
      </c>
      <c r="J18" s="176">
        <f t="shared" si="3"/>
        <v>0</v>
      </c>
      <c r="K18" s="176">
        <f t="shared" si="4"/>
        <v>0</v>
      </c>
      <c r="L18" s="177">
        <f t="shared" si="5"/>
        <v>0</v>
      </c>
    </row>
    <row r="19" spans="1:16" x14ac:dyDescent="0.35">
      <c r="A19" s="169">
        <v>12</v>
      </c>
      <c r="B19" s="175" t="s">
        <v>84</v>
      </c>
      <c r="C19" s="176">
        <f t="shared" si="0"/>
        <v>6</v>
      </c>
      <c r="D19" s="176">
        <f t="shared" si="1"/>
        <v>13</v>
      </c>
      <c r="E19" s="177">
        <f t="shared" si="2"/>
        <v>13</v>
      </c>
      <c r="H19" s="169">
        <v>4</v>
      </c>
      <c r="I19" s="175" t="s">
        <v>198</v>
      </c>
      <c r="J19" s="176">
        <f t="shared" si="3"/>
        <v>0</v>
      </c>
      <c r="K19" s="176">
        <f t="shared" si="4"/>
        <v>0</v>
      </c>
      <c r="L19" s="177">
        <f t="shared" si="5"/>
        <v>0</v>
      </c>
    </row>
    <row r="20" spans="1:16" x14ac:dyDescent="0.35">
      <c r="A20" s="169">
        <v>18</v>
      </c>
      <c r="B20" s="175" t="s">
        <v>87</v>
      </c>
      <c r="C20" s="176">
        <f t="shared" si="0"/>
        <v>13</v>
      </c>
      <c r="D20" s="176">
        <f t="shared" si="1"/>
        <v>9</v>
      </c>
      <c r="E20" s="177">
        <f t="shared" si="2"/>
        <v>13</v>
      </c>
      <c r="H20" s="169">
        <v>16</v>
      </c>
      <c r="I20" s="175" t="s">
        <v>75</v>
      </c>
      <c r="J20" s="176">
        <f t="shared" si="3"/>
        <v>9</v>
      </c>
      <c r="K20" s="176">
        <f t="shared" si="4"/>
        <v>5</v>
      </c>
      <c r="L20" s="177">
        <f t="shared" si="5"/>
        <v>9</v>
      </c>
    </row>
    <row r="21" spans="1:16" x14ac:dyDescent="0.35">
      <c r="A21" s="169">
        <v>13</v>
      </c>
      <c r="B21" s="175" t="s">
        <v>74</v>
      </c>
      <c r="C21" s="176">
        <f t="shared" si="0"/>
        <v>12.8</v>
      </c>
      <c r="D21" s="176">
        <f t="shared" si="1"/>
        <v>18.8</v>
      </c>
      <c r="E21" s="177">
        <f t="shared" si="2"/>
        <v>18.8</v>
      </c>
      <c r="H21" s="169">
        <v>2</v>
      </c>
      <c r="I21" s="175" t="s">
        <v>196</v>
      </c>
      <c r="J21" s="176">
        <f t="shared" si="3"/>
        <v>12</v>
      </c>
      <c r="K21" s="176">
        <f t="shared" si="4"/>
        <v>0</v>
      </c>
      <c r="L21" s="177">
        <f t="shared" si="5"/>
        <v>12</v>
      </c>
      <c r="P21" s="39" t="s">
        <v>73</v>
      </c>
    </row>
    <row r="22" spans="1:16" x14ac:dyDescent="0.35">
      <c r="A22" s="169">
        <v>5</v>
      </c>
      <c r="B22" s="175" t="s">
        <v>199</v>
      </c>
      <c r="C22" s="176">
        <f t="shared" si="0"/>
        <v>14</v>
      </c>
      <c r="D22" s="176">
        <f t="shared" si="1"/>
        <v>30</v>
      </c>
      <c r="E22" s="177">
        <f t="shared" si="2"/>
        <v>30</v>
      </c>
      <c r="H22" s="169">
        <v>13</v>
      </c>
      <c r="I22" s="175" t="s">
        <v>74</v>
      </c>
      <c r="J22" s="176">
        <f t="shared" si="3"/>
        <v>13</v>
      </c>
      <c r="K22" s="176">
        <f t="shared" si="4"/>
        <v>13</v>
      </c>
      <c r="L22" s="177">
        <f t="shared" si="5"/>
        <v>13</v>
      </c>
    </row>
    <row r="23" spans="1:16" x14ac:dyDescent="0.35">
      <c r="A23" s="169">
        <v>8</v>
      </c>
      <c r="B23" s="175" t="s">
        <v>200</v>
      </c>
      <c r="C23" s="176">
        <f t="shared" si="0"/>
        <v>16</v>
      </c>
      <c r="D23" s="176">
        <f t="shared" si="1"/>
        <v>35</v>
      </c>
      <c r="E23" s="177">
        <f t="shared" si="2"/>
        <v>35</v>
      </c>
      <c r="H23" s="169">
        <v>11</v>
      </c>
      <c r="I23" s="175" t="s">
        <v>201</v>
      </c>
      <c r="J23" s="176">
        <f t="shared" si="3"/>
        <v>18</v>
      </c>
      <c r="K23" s="176">
        <f t="shared" si="4"/>
        <v>0</v>
      </c>
      <c r="L23" s="177">
        <f t="shared" si="5"/>
        <v>18</v>
      </c>
    </row>
    <row r="24" spans="1:16" x14ac:dyDescent="0.35">
      <c r="A24" s="169">
        <v>16</v>
      </c>
      <c r="B24" s="175" t="s">
        <v>75</v>
      </c>
      <c r="C24" s="176">
        <f t="shared" si="0"/>
        <v>36</v>
      </c>
      <c r="D24" s="176">
        <f t="shared" si="1"/>
        <v>0</v>
      </c>
      <c r="E24" s="177">
        <f t="shared" si="2"/>
        <v>36</v>
      </c>
      <c r="H24" s="169">
        <v>14</v>
      </c>
      <c r="I24" s="175" t="s">
        <v>86</v>
      </c>
      <c r="J24" s="176">
        <f t="shared" si="3"/>
        <v>21</v>
      </c>
      <c r="K24" s="176">
        <f t="shared" si="4"/>
        <v>0</v>
      </c>
      <c r="L24" s="177">
        <f t="shared" si="5"/>
        <v>21</v>
      </c>
    </row>
    <row r="25" spans="1:16" x14ac:dyDescent="0.35">
      <c r="A25" s="169">
        <v>7</v>
      </c>
      <c r="B25" s="175" t="s">
        <v>203</v>
      </c>
      <c r="C25" s="176">
        <f t="shared" si="0"/>
        <v>22</v>
      </c>
      <c r="D25" s="176">
        <f t="shared" si="1"/>
        <v>40</v>
      </c>
      <c r="E25" s="177">
        <f t="shared" si="2"/>
        <v>40</v>
      </c>
      <c r="H25" s="169">
        <v>5</v>
      </c>
      <c r="I25" s="175" t="s">
        <v>199</v>
      </c>
      <c r="J25" s="176">
        <f t="shared" si="3"/>
        <v>0</v>
      </c>
      <c r="K25" s="176">
        <f t="shared" si="4"/>
        <v>26</v>
      </c>
      <c r="L25" s="177">
        <f t="shared" si="5"/>
        <v>26</v>
      </c>
    </row>
    <row r="26" spans="1:16" x14ac:dyDescent="0.35">
      <c r="A26" s="169">
        <v>6</v>
      </c>
      <c r="B26" s="175" t="s">
        <v>202</v>
      </c>
      <c r="C26" s="176">
        <f t="shared" si="0"/>
        <v>76</v>
      </c>
      <c r="D26" s="176">
        <f t="shared" si="1"/>
        <v>65</v>
      </c>
      <c r="E26" s="177">
        <f t="shared" si="2"/>
        <v>76</v>
      </c>
      <c r="H26" s="169">
        <v>6</v>
      </c>
      <c r="I26" s="175" t="s">
        <v>202</v>
      </c>
      <c r="J26" s="176">
        <f t="shared" si="3"/>
        <v>0</v>
      </c>
      <c r="K26" s="176">
        <f t="shared" si="4"/>
        <v>26</v>
      </c>
      <c r="L26" s="177">
        <f t="shared" si="5"/>
        <v>26</v>
      </c>
    </row>
    <row r="27" spans="1:16" x14ac:dyDescent="0.35">
      <c r="A27" s="170">
        <v>11</v>
      </c>
      <c r="B27" s="178" t="s">
        <v>201</v>
      </c>
      <c r="C27" s="179">
        <f t="shared" si="0"/>
        <v>78</v>
      </c>
      <c r="D27" s="179">
        <f t="shared" si="1"/>
        <v>0</v>
      </c>
      <c r="E27" s="180">
        <f t="shared" si="2"/>
        <v>78</v>
      </c>
      <c r="H27" s="170">
        <v>3</v>
      </c>
      <c r="I27" s="178" t="s">
        <v>197</v>
      </c>
      <c r="J27" s="179">
        <f t="shared" si="3"/>
        <v>0</v>
      </c>
      <c r="K27" s="179">
        <f t="shared" si="4"/>
        <v>52</v>
      </c>
      <c r="L27" s="180">
        <f t="shared" si="5"/>
        <v>52</v>
      </c>
    </row>
    <row r="31" spans="1:16" s="126" customFormat="1" ht="18.5" x14ac:dyDescent="0.45">
      <c r="B31" s="126" t="s">
        <v>134</v>
      </c>
    </row>
    <row r="32" spans="1:16" s="127" customFormat="1" ht="43.5" customHeight="1" x14ac:dyDescent="0.5">
      <c r="B32" s="128" t="s">
        <v>137</v>
      </c>
    </row>
    <row r="33" spans="1:13" x14ac:dyDescent="0.35">
      <c r="B33" s="54"/>
      <c r="C33" s="311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15" customHeight="1" x14ac:dyDescent="0.35">
      <c r="A34" s="50"/>
      <c r="B34" s="158" t="s">
        <v>98</v>
      </c>
      <c r="C34" s="50"/>
      <c r="D34" s="50"/>
      <c r="E34" s="50"/>
      <c r="F34" s="158"/>
      <c r="G34" s="158"/>
      <c r="H34" s="54"/>
      <c r="I34" s="158" t="s">
        <v>96</v>
      </c>
      <c r="J34" s="160"/>
      <c r="K34" s="161"/>
      <c r="L34" s="161"/>
      <c r="M34" s="161"/>
    </row>
    <row r="35" spans="1:13" x14ac:dyDescent="0.35">
      <c r="A35" s="168"/>
      <c r="B35" s="164"/>
      <c r="C35" s="164" t="s">
        <v>119</v>
      </c>
      <c r="D35" s="164" t="s">
        <v>120</v>
      </c>
      <c r="E35" s="164" t="s">
        <v>40</v>
      </c>
      <c r="F35" s="165" t="s">
        <v>226</v>
      </c>
      <c r="G35" s="158"/>
      <c r="H35" s="162"/>
      <c r="I35" s="163"/>
      <c r="J35" s="164" t="s">
        <v>119</v>
      </c>
      <c r="K35" s="164" t="s">
        <v>120</v>
      </c>
      <c r="L35" s="164" t="s">
        <v>40</v>
      </c>
      <c r="M35" s="165" t="s">
        <v>226</v>
      </c>
    </row>
    <row r="36" spans="1:13" x14ac:dyDescent="0.35">
      <c r="A36" s="169">
        <v>1</v>
      </c>
      <c r="B36" s="175" t="s">
        <v>195</v>
      </c>
      <c r="C36" s="176" t="e">
        <f t="shared" ref="C36:C53" si="6">IF(INDEX(Q1_Paeds,4+$A36,10)="No data",NA(),INDEX(Q1_Paeds,4+$A36,10))</f>
        <v>#N/A</v>
      </c>
      <c r="D36" s="176" t="e">
        <f t="shared" ref="D36:D53" si="7">IF(INDEX(Q1_Paeds,4+$A36,11)="No data",NA(),INDEX(Q1_Paeds,4+$A36,11))</f>
        <v>#N/A</v>
      </c>
      <c r="E36" s="176" t="e">
        <f t="shared" ref="E36:E53" si="8">IF(INDEX(Q1_Paeds,4+$A36,12)="No data",NA(),INDEX(Q1_Paeds,4+$A36,12))</f>
        <v>#N/A</v>
      </c>
      <c r="F36" s="166" t="e">
        <f t="shared" ref="F36:F53" si="9">SUM(C36:E36)</f>
        <v>#N/A</v>
      </c>
      <c r="G36" s="159"/>
      <c r="H36" s="169">
        <v>7</v>
      </c>
      <c r="I36" s="175" t="s">
        <v>203</v>
      </c>
      <c r="J36" s="176" t="e">
        <f t="shared" ref="J36:J53" si="10">IF(INDEX(Q1_Adult,4+$H36,10)="No data",NA(),INDEX(Q1_Adult,4+$H36,10))</f>
        <v>#N/A</v>
      </c>
      <c r="K36" s="176" t="e">
        <f t="shared" ref="K36:K53" si="11">IF(INDEX(Q1_Adult,4+$H36,11)="No data",NA(),INDEX(Q1_Adult,4+$H36,11))</f>
        <v>#N/A</v>
      </c>
      <c r="L36" s="176" t="e">
        <f t="shared" ref="L36:L53" si="12">IF(INDEX(Q1_Adult,4+$H36,12)="No data",NA(),INDEX(Q1_Adult,4+$H36,12))</f>
        <v>#N/A</v>
      </c>
      <c r="M36" s="166" t="e">
        <f t="shared" ref="M36:M53" si="13">SUM(J36:L36)</f>
        <v>#N/A</v>
      </c>
    </row>
    <row r="37" spans="1:13" x14ac:dyDescent="0.35">
      <c r="A37" s="169">
        <v>3</v>
      </c>
      <c r="B37" s="175" t="s">
        <v>197</v>
      </c>
      <c r="C37" s="176" t="e">
        <f t="shared" si="6"/>
        <v>#N/A</v>
      </c>
      <c r="D37" s="176" t="e">
        <f t="shared" si="7"/>
        <v>#N/A</v>
      </c>
      <c r="E37" s="176" t="e">
        <f t="shared" si="8"/>
        <v>#N/A</v>
      </c>
      <c r="F37" s="166" t="e">
        <f t="shared" si="9"/>
        <v>#N/A</v>
      </c>
      <c r="G37" s="159"/>
      <c r="H37" s="169">
        <v>8</v>
      </c>
      <c r="I37" s="175" t="s">
        <v>200</v>
      </c>
      <c r="J37" s="176" t="e">
        <f t="shared" si="10"/>
        <v>#N/A</v>
      </c>
      <c r="K37" s="176" t="e">
        <f t="shared" si="11"/>
        <v>#N/A</v>
      </c>
      <c r="L37" s="176" t="e">
        <f t="shared" si="12"/>
        <v>#N/A</v>
      </c>
      <c r="M37" s="166" t="e">
        <f t="shared" si="13"/>
        <v>#N/A</v>
      </c>
    </row>
    <row r="38" spans="1:13" x14ac:dyDescent="0.35">
      <c r="A38" s="169">
        <v>9</v>
      </c>
      <c r="B38" s="175" t="s">
        <v>82</v>
      </c>
      <c r="C38" s="176" t="e">
        <f t="shared" si="6"/>
        <v>#N/A</v>
      </c>
      <c r="D38" s="176" t="e">
        <f t="shared" si="7"/>
        <v>#N/A</v>
      </c>
      <c r="E38" s="176" t="e">
        <f t="shared" si="8"/>
        <v>#N/A</v>
      </c>
      <c r="F38" s="166" t="e">
        <f t="shared" si="9"/>
        <v>#N/A</v>
      </c>
      <c r="G38" s="159"/>
      <c r="H38" s="169">
        <v>9</v>
      </c>
      <c r="I38" s="175" t="s">
        <v>82</v>
      </c>
      <c r="J38" s="176" t="e">
        <f t="shared" si="10"/>
        <v>#N/A</v>
      </c>
      <c r="K38" s="176" t="e">
        <f t="shared" si="11"/>
        <v>#N/A</v>
      </c>
      <c r="L38" s="176" t="e">
        <f t="shared" si="12"/>
        <v>#N/A</v>
      </c>
      <c r="M38" s="166" t="e">
        <f t="shared" si="13"/>
        <v>#N/A</v>
      </c>
    </row>
    <row r="39" spans="1:13" x14ac:dyDescent="0.35">
      <c r="A39" s="169">
        <v>15</v>
      </c>
      <c r="B39" s="175" t="s">
        <v>60</v>
      </c>
      <c r="C39" s="176">
        <f t="shared" si="6"/>
        <v>0</v>
      </c>
      <c r="D39" s="176">
        <f t="shared" si="7"/>
        <v>0</v>
      </c>
      <c r="E39" s="176">
        <f t="shared" si="8"/>
        <v>0</v>
      </c>
      <c r="F39" s="166">
        <f t="shared" si="9"/>
        <v>0</v>
      </c>
      <c r="G39" s="159"/>
      <c r="H39" s="169">
        <v>10</v>
      </c>
      <c r="I39" s="175" t="s">
        <v>83</v>
      </c>
      <c r="J39" s="176" t="e">
        <f t="shared" si="10"/>
        <v>#N/A</v>
      </c>
      <c r="K39" s="176" t="e">
        <f t="shared" si="11"/>
        <v>#N/A</v>
      </c>
      <c r="L39" s="176" t="e">
        <f t="shared" si="12"/>
        <v>#N/A</v>
      </c>
      <c r="M39" s="166" t="e">
        <f t="shared" si="13"/>
        <v>#N/A</v>
      </c>
    </row>
    <row r="40" spans="1:13" x14ac:dyDescent="0.35">
      <c r="A40" s="169">
        <v>18</v>
      </c>
      <c r="B40" s="175" t="s">
        <v>87</v>
      </c>
      <c r="C40" s="176">
        <f t="shared" si="6"/>
        <v>0</v>
      </c>
      <c r="D40" s="176">
        <f t="shared" si="7"/>
        <v>0</v>
      </c>
      <c r="E40" s="176">
        <f t="shared" si="8"/>
        <v>0</v>
      </c>
      <c r="F40" s="166">
        <f t="shared" si="9"/>
        <v>0</v>
      </c>
      <c r="G40" s="159"/>
      <c r="H40" s="169">
        <v>12</v>
      </c>
      <c r="I40" s="175" t="s">
        <v>84</v>
      </c>
      <c r="J40" s="176" t="e">
        <f t="shared" si="10"/>
        <v>#N/A</v>
      </c>
      <c r="K40" s="176" t="e">
        <f t="shared" si="11"/>
        <v>#N/A</v>
      </c>
      <c r="L40" s="176" t="e">
        <f t="shared" si="12"/>
        <v>#N/A</v>
      </c>
      <c r="M40" s="166" t="e">
        <f t="shared" si="13"/>
        <v>#N/A</v>
      </c>
    </row>
    <row r="41" spans="1:13" x14ac:dyDescent="0.35">
      <c r="A41" s="169">
        <v>10</v>
      </c>
      <c r="B41" s="175" t="s">
        <v>83</v>
      </c>
      <c r="C41" s="176">
        <f t="shared" si="6"/>
        <v>1</v>
      </c>
      <c r="D41" s="176">
        <f t="shared" si="7"/>
        <v>0</v>
      </c>
      <c r="E41" s="176">
        <f t="shared" si="8"/>
        <v>0</v>
      </c>
      <c r="F41" s="166">
        <f t="shared" si="9"/>
        <v>1</v>
      </c>
      <c r="G41" s="159"/>
      <c r="H41" s="169">
        <v>15</v>
      </c>
      <c r="I41" s="175" t="s">
        <v>60</v>
      </c>
      <c r="J41" s="176" t="e">
        <f t="shared" si="10"/>
        <v>#N/A</v>
      </c>
      <c r="K41" s="176" t="e">
        <f t="shared" si="11"/>
        <v>#N/A</v>
      </c>
      <c r="L41" s="176" t="e">
        <f t="shared" si="12"/>
        <v>#N/A</v>
      </c>
      <c r="M41" s="166" t="e">
        <f t="shared" si="13"/>
        <v>#N/A</v>
      </c>
    </row>
    <row r="42" spans="1:13" x14ac:dyDescent="0.35">
      <c r="A42" s="169">
        <v>7</v>
      </c>
      <c r="B42" s="175" t="s">
        <v>203</v>
      </c>
      <c r="C42" s="176">
        <f t="shared" si="6"/>
        <v>1</v>
      </c>
      <c r="D42" s="176">
        <f t="shared" si="7"/>
        <v>1</v>
      </c>
      <c r="E42" s="176">
        <f t="shared" si="8"/>
        <v>0</v>
      </c>
      <c r="F42" s="166">
        <f t="shared" si="9"/>
        <v>2</v>
      </c>
      <c r="G42" s="159"/>
      <c r="H42" s="169">
        <v>17</v>
      </c>
      <c r="I42" s="175" t="s">
        <v>70</v>
      </c>
      <c r="J42" s="176" t="e">
        <f t="shared" si="10"/>
        <v>#N/A</v>
      </c>
      <c r="K42" s="176" t="e">
        <f t="shared" si="11"/>
        <v>#N/A</v>
      </c>
      <c r="L42" s="176" t="e">
        <f t="shared" si="12"/>
        <v>#N/A</v>
      </c>
      <c r="M42" s="166" t="e">
        <f t="shared" si="13"/>
        <v>#N/A</v>
      </c>
    </row>
    <row r="43" spans="1:13" x14ac:dyDescent="0.35">
      <c r="A43" s="169">
        <v>17</v>
      </c>
      <c r="B43" s="175" t="s">
        <v>70</v>
      </c>
      <c r="C43" s="176">
        <f t="shared" si="6"/>
        <v>1</v>
      </c>
      <c r="D43" s="176">
        <f t="shared" si="7"/>
        <v>1</v>
      </c>
      <c r="E43" s="176">
        <f t="shared" si="8"/>
        <v>0</v>
      </c>
      <c r="F43" s="166">
        <f t="shared" si="9"/>
        <v>2</v>
      </c>
      <c r="G43" s="159"/>
      <c r="H43" s="169">
        <v>18</v>
      </c>
      <c r="I43" s="175" t="s">
        <v>87</v>
      </c>
      <c r="J43" s="176" t="e">
        <f t="shared" si="10"/>
        <v>#N/A</v>
      </c>
      <c r="K43" s="176" t="e">
        <f t="shared" si="11"/>
        <v>#N/A</v>
      </c>
      <c r="L43" s="176" t="e">
        <f t="shared" si="12"/>
        <v>#N/A</v>
      </c>
      <c r="M43" s="166" t="e">
        <f t="shared" si="13"/>
        <v>#N/A</v>
      </c>
    </row>
    <row r="44" spans="1:13" x14ac:dyDescent="0.35">
      <c r="A44" s="169">
        <v>8</v>
      </c>
      <c r="B44" s="175" t="s">
        <v>200</v>
      </c>
      <c r="C44" s="176">
        <f t="shared" si="6"/>
        <v>6</v>
      </c>
      <c r="D44" s="176">
        <f t="shared" si="7"/>
        <v>0</v>
      </c>
      <c r="E44" s="176">
        <f t="shared" si="8"/>
        <v>0</v>
      </c>
      <c r="F44" s="166">
        <f t="shared" si="9"/>
        <v>6</v>
      </c>
      <c r="G44" s="159"/>
      <c r="H44" s="169">
        <v>3</v>
      </c>
      <c r="I44" s="175" t="s">
        <v>197</v>
      </c>
      <c r="J44" s="176">
        <f t="shared" si="10"/>
        <v>0</v>
      </c>
      <c r="K44" s="176">
        <f t="shared" si="11"/>
        <v>0</v>
      </c>
      <c r="L44" s="176">
        <f t="shared" si="12"/>
        <v>0</v>
      </c>
      <c r="M44" s="166">
        <f t="shared" si="13"/>
        <v>0</v>
      </c>
    </row>
    <row r="45" spans="1:13" x14ac:dyDescent="0.35">
      <c r="A45" s="169">
        <v>4</v>
      </c>
      <c r="B45" s="175" t="s">
        <v>198</v>
      </c>
      <c r="C45" s="176">
        <f t="shared" si="6"/>
        <v>6</v>
      </c>
      <c r="D45" s="176">
        <f t="shared" si="7"/>
        <v>4</v>
      </c>
      <c r="E45" s="176">
        <f t="shared" si="8"/>
        <v>0</v>
      </c>
      <c r="F45" s="166">
        <f t="shared" si="9"/>
        <v>10</v>
      </c>
      <c r="G45" s="159"/>
      <c r="H45" s="169">
        <v>4</v>
      </c>
      <c r="I45" s="175" t="s">
        <v>198</v>
      </c>
      <c r="J45" s="176">
        <f t="shared" si="10"/>
        <v>0</v>
      </c>
      <c r="K45" s="176">
        <f t="shared" si="11"/>
        <v>0</v>
      </c>
      <c r="L45" s="176">
        <f t="shared" si="12"/>
        <v>0</v>
      </c>
      <c r="M45" s="166">
        <f t="shared" si="13"/>
        <v>0</v>
      </c>
    </row>
    <row r="46" spans="1:13" x14ac:dyDescent="0.35">
      <c r="A46" s="169">
        <v>6</v>
      </c>
      <c r="B46" s="175" t="s">
        <v>202</v>
      </c>
      <c r="C46" s="176">
        <f t="shared" si="6"/>
        <v>11</v>
      </c>
      <c r="D46" s="176">
        <f t="shared" si="7"/>
        <v>12</v>
      </c>
      <c r="E46" s="176">
        <f t="shared" si="8"/>
        <v>0</v>
      </c>
      <c r="F46" s="166">
        <f t="shared" si="9"/>
        <v>23</v>
      </c>
      <c r="G46" s="159"/>
      <c r="H46" s="169">
        <v>5</v>
      </c>
      <c r="I46" s="175" t="s">
        <v>199</v>
      </c>
      <c r="J46" s="176">
        <f t="shared" si="10"/>
        <v>0</v>
      </c>
      <c r="K46" s="176">
        <f t="shared" si="11"/>
        <v>0</v>
      </c>
      <c r="L46" s="176">
        <f t="shared" si="12"/>
        <v>0</v>
      </c>
      <c r="M46" s="166">
        <f t="shared" si="13"/>
        <v>0</v>
      </c>
    </row>
    <row r="47" spans="1:13" x14ac:dyDescent="0.35">
      <c r="A47" s="169">
        <v>5</v>
      </c>
      <c r="B47" s="175" t="s">
        <v>199</v>
      </c>
      <c r="C47" s="176">
        <f t="shared" si="6"/>
        <v>12</v>
      </c>
      <c r="D47" s="176">
        <f t="shared" si="7"/>
        <v>10</v>
      </c>
      <c r="E47" s="176">
        <f t="shared" si="8"/>
        <v>6</v>
      </c>
      <c r="F47" s="166">
        <f t="shared" si="9"/>
        <v>28</v>
      </c>
      <c r="G47" s="159"/>
      <c r="H47" s="169">
        <v>6</v>
      </c>
      <c r="I47" s="175" t="s">
        <v>202</v>
      </c>
      <c r="J47" s="176">
        <f t="shared" si="10"/>
        <v>0</v>
      </c>
      <c r="K47" s="176">
        <f t="shared" si="11"/>
        <v>0</v>
      </c>
      <c r="L47" s="176">
        <f t="shared" si="12"/>
        <v>0</v>
      </c>
      <c r="M47" s="166">
        <f t="shared" si="13"/>
        <v>0</v>
      </c>
    </row>
    <row r="48" spans="1:13" x14ac:dyDescent="0.35">
      <c r="A48" s="169">
        <v>14</v>
      </c>
      <c r="B48" s="175" t="s">
        <v>86</v>
      </c>
      <c r="C48" s="176">
        <f t="shared" si="6"/>
        <v>27</v>
      </c>
      <c r="D48" s="176">
        <f t="shared" si="7"/>
        <v>1</v>
      </c>
      <c r="E48" s="176">
        <f t="shared" si="8"/>
        <v>0</v>
      </c>
      <c r="F48" s="166">
        <f t="shared" si="9"/>
        <v>28</v>
      </c>
      <c r="G48" s="159"/>
      <c r="H48" s="169">
        <v>13</v>
      </c>
      <c r="I48" s="175" t="s">
        <v>74</v>
      </c>
      <c r="J48" s="176">
        <f t="shared" si="10"/>
        <v>0</v>
      </c>
      <c r="K48" s="176">
        <f t="shared" si="11"/>
        <v>54</v>
      </c>
      <c r="L48" s="176">
        <f t="shared" si="12"/>
        <v>0</v>
      </c>
      <c r="M48" s="166">
        <f t="shared" si="13"/>
        <v>54</v>
      </c>
    </row>
    <row r="49" spans="1:13" x14ac:dyDescent="0.35">
      <c r="A49" s="169">
        <v>12</v>
      </c>
      <c r="B49" s="175" t="s">
        <v>84</v>
      </c>
      <c r="C49" s="176">
        <f t="shared" si="6"/>
        <v>44</v>
      </c>
      <c r="D49" s="176">
        <f t="shared" si="7"/>
        <v>63</v>
      </c>
      <c r="E49" s="176">
        <f t="shared" si="8"/>
        <v>41</v>
      </c>
      <c r="F49" s="166">
        <f t="shared" si="9"/>
        <v>148</v>
      </c>
      <c r="G49" s="159"/>
      <c r="H49" s="169">
        <v>16</v>
      </c>
      <c r="I49" s="175" t="s">
        <v>75</v>
      </c>
      <c r="J49" s="176">
        <f t="shared" si="10"/>
        <v>43</v>
      </c>
      <c r="K49" s="176">
        <f t="shared" si="11"/>
        <v>31</v>
      </c>
      <c r="L49" s="176">
        <f t="shared" si="12"/>
        <v>0</v>
      </c>
      <c r="M49" s="166">
        <f t="shared" si="13"/>
        <v>74</v>
      </c>
    </row>
    <row r="50" spans="1:13" x14ac:dyDescent="0.35">
      <c r="A50" s="169">
        <v>16</v>
      </c>
      <c r="B50" s="175" t="s">
        <v>75</v>
      </c>
      <c r="C50" s="176">
        <f t="shared" si="6"/>
        <v>79</v>
      </c>
      <c r="D50" s="176">
        <f t="shared" si="7"/>
        <v>72</v>
      </c>
      <c r="E50" s="176">
        <f t="shared" si="8"/>
        <v>0</v>
      </c>
      <c r="F50" s="166">
        <f t="shared" si="9"/>
        <v>151</v>
      </c>
      <c r="G50" s="159"/>
      <c r="H50" s="169">
        <v>11</v>
      </c>
      <c r="I50" s="175" t="s">
        <v>201</v>
      </c>
      <c r="J50" s="176">
        <f t="shared" si="10"/>
        <v>67</v>
      </c>
      <c r="K50" s="176">
        <f t="shared" si="11"/>
        <v>47</v>
      </c>
      <c r="L50" s="176">
        <f t="shared" si="12"/>
        <v>0</v>
      </c>
      <c r="M50" s="166">
        <f t="shared" si="13"/>
        <v>114</v>
      </c>
    </row>
    <row r="51" spans="1:13" x14ac:dyDescent="0.35">
      <c r="A51" s="169">
        <v>13</v>
      </c>
      <c r="B51" s="175" t="s">
        <v>74</v>
      </c>
      <c r="C51" s="176">
        <f t="shared" si="6"/>
        <v>41</v>
      </c>
      <c r="D51" s="176">
        <f t="shared" si="7"/>
        <v>114</v>
      </c>
      <c r="E51" s="176">
        <f t="shared" si="8"/>
        <v>99</v>
      </c>
      <c r="F51" s="166">
        <f t="shared" si="9"/>
        <v>254</v>
      </c>
      <c r="G51" s="159"/>
      <c r="H51" s="169">
        <v>1</v>
      </c>
      <c r="I51" s="175" t="s">
        <v>195</v>
      </c>
      <c r="J51" s="176">
        <f t="shared" si="10"/>
        <v>31</v>
      </c>
      <c r="K51" s="176">
        <f t="shared" si="11"/>
        <v>69</v>
      </c>
      <c r="L51" s="176">
        <f t="shared" si="12"/>
        <v>42</v>
      </c>
      <c r="M51" s="166">
        <f t="shared" si="13"/>
        <v>142</v>
      </c>
    </row>
    <row r="52" spans="1:13" x14ac:dyDescent="0.35">
      <c r="A52" s="169">
        <v>2</v>
      </c>
      <c r="B52" s="175" t="s">
        <v>196</v>
      </c>
      <c r="C52" s="176">
        <f t="shared" si="6"/>
        <v>113</v>
      </c>
      <c r="D52" s="176">
        <f t="shared" si="7"/>
        <v>59</v>
      </c>
      <c r="E52" s="176">
        <f t="shared" si="8"/>
        <v>284</v>
      </c>
      <c r="F52" s="166">
        <f t="shared" si="9"/>
        <v>456</v>
      </c>
      <c r="G52" s="159"/>
      <c r="H52" s="169">
        <v>2</v>
      </c>
      <c r="I52" s="175" t="s">
        <v>196</v>
      </c>
      <c r="J52" s="176">
        <f t="shared" si="10"/>
        <v>37</v>
      </c>
      <c r="K52" s="176">
        <f t="shared" si="11"/>
        <v>79</v>
      </c>
      <c r="L52" s="176">
        <f t="shared" si="12"/>
        <v>28</v>
      </c>
      <c r="M52" s="166">
        <f t="shared" si="13"/>
        <v>144</v>
      </c>
    </row>
    <row r="53" spans="1:13" x14ac:dyDescent="0.35">
      <c r="A53" s="170">
        <v>11</v>
      </c>
      <c r="B53" s="178" t="s">
        <v>201</v>
      </c>
      <c r="C53" s="179">
        <f t="shared" si="6"/>
        <v>276</v>
      </c>
      <c r="D53" s="179">
        <f t="shared" si="7"/>
        <v>269</v>
      </c>
      <c r="E53" s="179">
        <f t="shared" si="8"/>
        <v>25</v>
      </c>
      <c r="F53" s="167">
        <f t="shared" si="9"/>
        <v>570</v>
      </c>
      <c r="G53" s="159"/>
      <c r="H53" s="170">
        <v>14</v>
      </c>
      <c r="I53" s="178" t="s">
        <v>86</v>
      </c>
      <c r="J53" s="179">
        <f t="shared" si="10"/>
        <v>88</v>
      </c>
      <c r="K53" s="179">
        <f t="shared" si="11"/>
        <v>141</v>
      </c>
      <c r="L53" s="179">
        <f t="shared" si="12"/>
        <v>261</v>
      </c>
      <c r="M53" s="167">
        <f t="shared" si="13"/>
        <v>490</v>
      </c>
    </row>
    <row r="54" spans="1:13" x14ac:dyDescent="0.35">
      <c r="A54" s="159"/>
    </row>
    <row r="55" spans="1:13" s="50" customFormat="1" x14ac:dyDescent="0.35">
      <c r="B55" s="92"/>
      <c r="C55" s="68"/>
      <c r="D55" s="68"/>
      <c r="E55" s="93"/>
      <c r="F55" s="68"/>
    </row>
    <row r="56" spans="1:13" x14ac:dyDescent="0.35">
      <c r="B56" s="275" t="s">
        <v>99</v>
      </c>
      <c r="H56" s="158" t="s">
        <v>97</v>
      </c>
      <c r="I56" s="311"/>
      <c r="J56" s="54"/>
      <c r="K56" s="54"/>
      <c r="L56" s="54"/>
    </row>
    <row r="57" spans="1:13" x14ac:dyDescent="0.35">
      <c r="A57" s="168"/>
      <c r="B57" s="276"/>
      <c r="C57" s="164" t="s">
        <v>119</v>
      </c>
      <c r="D57" s="164" t="s">
        <v>120</v>
      </c>
      <c r="E57" s="164" t="s">
        <v>40</v>
      </c>
      <c r="F57" s="165" t="s">
        <v>226</v>
      </c>
      <c r="G57" s="182"/>
      <c r="H57" s="162"/>
      <c r="I57" s="163"/>
      <c r="J57" s="164" t="s">
        <v>119</v>
      </c>
      <c r="K57" s="164" t="s">
        <v>120</v>
      </c>
      <c r="L57" s="164" t="s">
        <v>40</v>
      </c>
      <c r="M57" s="165" t="s">
        <v>226</v>
      </c>
    </row>
    <row r="58" spans="1:13" x14ac:dyDescent="0.35">
      <c r="A58" s="169">
        <v>1</v>
      </c>
      <c r="B58" s="175" t="s">
        <v>195</v>
      </c>
      <c r="C58" s="171" t="e">
        <f t="shared" ref="C58:C75" si="14">IF(INDEX(Q1_Paeds,4+$A58,16)="No data",NA(),INDEX(Q1_Paeds,4+$A58,16))</f>
        <v>#N/A</v>
      </c>
      <c r="D58" s="171" t="e">
        <f t="shared" ref="D58:D75" si="15">IF(INDEX(Q1_Paeds,4+$A58,17)="No data",NA(),INDEX(Q1_Paeds,4+$A58,17))</f>
        <v>#N/A</v>
      </c>
      <c r="E58" s="171" t="e">
        <f t="shared" ref="E58:E75" si="16">IF(INDEX(Q1_Paeds,4+$A58,18)="No data",NA(),INDEX(Q1_Paeds,4+$A58,18))</f>
        <v>#N/A</v>
      </c>
      <c r="F58" s="166" t="e">
        <f t="shared" ref="F58:F75" si="17">SUM(C58:E58)</f>
        <v>#N/A</v>
      </c>
      <c r="G58" s="183"/>
      <c r="H58" s="169">
        <v>7</v>
      </c>
      <c r="I58" s="175" t="s">
        <v>203</v>
      </c>
      <c r="J58" s="176" t="e">
        <f t="shared" ref="J58:J75" si="18">IF(INDEX(Q1_Adult,4+$H58,16)="No data",NA(),INDEX(Q1_Adult,4+$H58,16))</f>
        <v>#N/A</v>
      </c>
      <c r="K58" s="176" t="e">
        <f t="shared" ref="K58:K75" si="19">IF(INDEX(Q1_Adult,4+$H58,17)="No data",NA(),INDEX(Q1_Adult,4+$H58,17))</f>
        <v>#N/A</v>
      </c>
      <c r="L58" s="176" t="e">
        <f t="shared" ref="L58:L75" si="20">IF(INDEX(Q1_Adult,4+$H58,18)="No data",NA(),INDEX(Q1_Adult,4+$H58,18))</f>
        <v>#N/A</v>
      </c>
      <c r="M58" s="166" t="e">
        <f t="shared" ref="M58:M75" si="21">SUM(J58:L58)</f>
        <v>#N/A</v>
      </c>
    </row>
    <row r="59" spans="1:13" x14ac:dyDescent="0.35">
      <c r="A59" s="169">
        <v>3</v>
      </c>
      <c r="B59" s="175" t="s">
        <v>197</v>
      </c>
      <c r="C59" s="171" t="e">
        <f t="shared" si="14"/>
        <v>#N/A</v>
      </c>
      <c r="D59" s="171" t="e">
        <f t="shared" si="15"/>
        <v>#N/A</v>
      </c>
      <c r="E59" s="171" t="e">
        <f t="shared" si="16"/>
        <v>#N/A</v>
      </c>
      <c r="F59" s="166" t="e">
        <f t="shared" si="17"/>
        <v>#N/A</v>
      </c>
      <c r="G59" s="183"/>
      <c r="H59" s="169">
        <v>8</v>
      </c>
      <c r="I59" s="175" t="s">
        <v>200</v>
      </c>
      <c r="J59" s="176" t="e">
        <f t="shared" si="18"/>
        <v>#N/A</v>
      </c>
      <c r="K59" s="176" t="e">
        <f t="shared" si="19"/>
        <v>#N/A</v>
      </c>
      <c r="L59" s="176" t="e">
        <f t="shared" si="20"/>
        <v>#N/A</v>
      </c>
      <c r="M59" s="166" t="e">
        <f t="shared" si="21"/>
        <v>#N/A</v>
      </c>
    </row>
    <row r="60" spans="1:13" x14ac:dyDescent="0.35">
      <c r="A60" s="169">
        <v>9</v>
      </c>
      <c r="B60" s="175" t="s">
        <v>82</v>
      </c>
      <c r="C60" s="171" t="e">
        <f t="shared" si="14"/>
        <v>#N/A</v>
      </c>
      <c r="D60" s="171" t="e">
        <f t="shared" si="15"/>
        <v>#N/A</v>
      </c>
      <c r="E60" s="171" t="e">
        <f t="shared" si="16"/>
        <v>#N/A</v>
      </c>
      <c r="F60" s="166" t="e">
        <f t="shared" si="17"/>
        <v>#N/A</v>
      </c>
      <c r="G60" s="183"/>
      <c r="H60" s="169">
        <v>9</v>
      </c>
      <c r="I60" s="175" t="s">
        <v>82</v>
      </c>
      <c r="J60" s="176" t="e">
        <f t="shared" si="18"/>
        <v>#N/A</v>
      </c>
      <c r="K60" s="176" t="e">
        <f t="shared" si="19"/>
        <v>#N/A</v>
      </c>
      <c r="L60" s="176" t="e">
        <f t="shared" si="20"/>
        <v>#N/A</v>
      </c>
      <c r="M60" s="166" t="e">
        <f t="shared" si="21"/>
        <v>#N/A</v>
      </c>
    </row>
    <row r="61" spans="1:13" x14ac:dyDescent="0.35">
      <c r="A61" s="169">
        <v>2</v>
      </c>
      <c r="B61" s="175" t="s">
        <v>196</v>
      </c>
      <c r="C61" s="171">
        <f t="shared" si="14"/>
        <v>0</v>
      </c>
      <c r="D61" s="171">
        <f t="shared" si="15"/>
        <v>0</v>
      </c>
      <c r="E61" s="171">
        <f t="shared" si="16"/>
        <v>0</v>
      </c>
      <c r="F61" s="166">
        <f t="shared" si="17"/>
        <v>0</v>
      </c>
      <c r="G61" s="183"/>
      <c r="H61" s="169">
        <v>10</v>
      </c>
      <c r="I61" s="175" t="s">
        <v>83</v>
      </c>
      <c r="J61" s="176" t="e">
        <f t="shared" si="18"/>
        <v>#N/A</v>
      </c>
      <c r="K61" s="176" t="e">
        <f t="shared" si="19"/>
        <v>#N/A</v>
      </c>
      <c r="L61" s="176" t="e">
        <f t="shared" si="20"/>
        <v>#N/A</v>
      </c>
      <c r="M61" s="166" t="e">
        <f t="shared" si="21"/>
        <v>#N/A</v>
      </c>
    </row>
    <row r="62" spans="1:13" x14ac:dyDescent="0.35">
      <c r="A62" s="169">
        <v>11</v>
      </c>
      <c r="B62" s="175" t="s">
        <v>201</v>
      </c>
      <c r="C62" s="171">
        <f t="shared" si="14"/>
        <v>0</v>
      </c>
      <c r="D62" s="171">
        <f t="shared" si="15"/>
        <v>0</v>
      </c>
      <c r="E62" s="171">
        <f t="shared" si="16"/>
        <v>0</v>
      </c>
      <c r="F62" s="166">
        <f t="shared" si="17"/>
        <v>0</v>
      </c>
      <c r="G62" s="183"/>
      <c r="H62" s="169">
        <v>12</v>
      </c>
      <c r="I62" s="175" t="s">
        <v>84</v>
      </c>
      <c r="J62" s="176" t="e">
        <f t="shared" si="18"/>
        <v>#N/A</v>
      </c>
      <c r="K62" s="176" t="e">
        <f t="shared" si="19"/>
        <v>#N/A</v>
      </c>
      <c r="L62" s="176" t="e">
        <f t="shared" si="20"/>
        <v>#N/A</v>
      </c>
      <c r="M62" s="166" t="e">
        <f t="shared" si="21"/>
        <v>#N/A</v>
      </c>
    </row>
    <row r="63" spans="1:13" x14ac:dyDescent="0.35">
      <c r="A63" s="169">
        <v>14</v>
      </c>
      <c r="B63" s="175" t="s">
        <v>86</v>
      </c>
      <c r="C63" s="171">
        <f t="shared" si="14"/>
        <v>0</v>
      </c>
      <c r="D63" s="171">
        <f t="shared" si="15"/>
        <v>0</v>
      </c>
      <c r="E63" s="171">
        <f t="shared" si="16"/>
        <v>0</v>
      </c>
      <c r="F63" s="166">
        <f t="shared" si="17"/>
        <v>0</v>
      </c>
      <c r="G63" s="183"/>
      <c r="H63" s="169">
        <v>15</v>
      </c>
      <c r="I63" s="175" t="s">
        <v>60</v>
      </c>
      <c r="J63" s="176" t="e">
        <f t="shared" si="18"/>
        <v>#N/A</v>
      </c>
      <c r="K63" s="176" t="e">
        <f t="shared" si="19"/>
        <v>#N/A</v>
      </c>
      <c r="L63" s="176" t="e">
        <f t="shared" si="20"/>
        <v>#N/A</v>
      </c>
      <c r="M63" s="166" t="e">
        <f t="shared" si="21"/>
        <v>#N/A</v>
      </c>
    </row>
    <row r="64" spans="1:13" x14ac:dyDescent="0.35">
      <c r="A64" s="169">
        <v>18</v>
      </c>
      <c r="B64" s="175" t="s">
        <v>87</v>
      </c>
      <c r="C64" s="171">
        <f t="shared" si="14"/>
        <v>0</v>
      </c>
      <c r="D64" s="171">
        <f t="shared" si="15"/>
        <v>0</v>
      </c>
      <c r="E64" s="171">
        <f t="shared" si="16"/>
        <v>0</v>
      </c>
      <c r="F64" s="166">
        <f t="shared" si="17"/>
        <v>0</v>
      </c>
      <c r="G64" s="183"/>
      <c r="H64" s="169">
        <v>17</v>
      </c>
      <c r="I64" s="175" t="s">
        <v>70</v>
      </c>
      <c r="J64" s="176" t="e">
        <f t="shared" si="18"/>
        <v>#N/A</v>
      </c>
      <c r="K64" s="176" t="e">
        <f t="shared" si="19"/>
        <v>#N/A</v>
      </c>
      <c r="L64" s="176" t="e">
        <f t="shared" si="20"/>
        <v>#N/A</v>
      </c>
      <c r="M64" s="166" t="e">
        <f t="shared" si="21"/>
        <v>#N/A</v>
      </c>
    </row>
    <row r="65" spans="1:15" x14ac:dyDescent="0.35">
      <c r="A65" s="169">
        <v>7</v>
      </c>
      <c r="B65" s="175" t="s">
        <v>203</v>
      </c>
      <c r="C65" s="171">
        <f t="shared" si="14"/>
        <v>1</v>
      </c>
      <c r="D65" s="171">
        <f t="shared" si="15"/>
        <v>0</v>
      </c>
      <c r="E65" s="171">
        <f t="shared" si="16"/>
        <v>0</v>
      </c>
      <c r="F65" s="166">
        <f t="shared" si="17"/>
        <v>1</v>
      </c>
      <c r="G65" s="183"/>
      <c r="H65" s="169">
        <v>18</v>
      </c>
      <c r="I65" s="175" t="s">
        <v>87</v>
      </c>
      <c r="J65" s="176" t="e">
        <f t="shared" si="18"/>
        <v>#N/A</v>
      </c>
      <c r="K65" s="176" t="e">
        <f t="shared" si="19"/>
        <v>#N/A</v>
      </c>
      <c r="L65" s="176" t="e">
        <f t="shared" si="20"/>
        <v>#N/A</v>
      </c>
      <c r="M65" s="166" t="e">
        <f t="shared" si="21"/>
        <v>#N/A</v>
      </c>
    </row>
    <row r="66" spans="1:15" x14ac:dyDescent="0.35">
      <c r="A66" s="169">
        <v>10</v>
      </c>
      <c r="B66" s="175" t="s">
        <v>83</v>
      </c>
      <c r="C66" s="171">
        <f t="shared" si="14"/>
        <v>9</v>
      </c>
      <c r="D66" s="171">
        <f t="shared" si="15"/>
        <v>0</v>
      </c>
      <c r="E66" s="171">
        <f t="shared" si="16"/>
        <v>0</v>
      </c>
      <c r="F66" s="166">
        <f t="shared" si="17"/>
        <v>9</v>
      </c>
      <c r="G66" s="183"/>
      <c r="H66" s="169">
        <v>1</v>
      </c>
      <c r="I66" s="175" t="s">
        <v>195</v>
      </c>
      <c r="J66" s="176">
        <f t="shared" si="18"/>
        <v>0</v>
      </c>
      <c r="K66" s="176">
        <f t="shared" si="19"/>
        <v>0</v>
      </c>
      <c r="L66" s="176">
        <f t="shared" si="20"/>
        <v>0</v>
      </c>
      <c r="M66" s="166">
        <f t="shared" si="21"/>
        <v>0</v>
      </c>
    </row>
    <row r="67" spans="1:15" x14ac:dyDescent="0.35">
      <c r="A67" s="169">
        <v>4</v>
      </c>
      <c r="B67" s="175" t="s">
        <v>198</v>
      </c>
      <c r="C67" s="171">
        <f t="shared" si="14"/>
        <v>6</v>
      </c>
      <c r="D67" s="171">
        <f t="shared" si="15"/>
        <v>4</v>
      </c>
      <c r="E67" s="171">
        <f t="shared" si="16"/>
        <v>7</v>
      </c>
      <c r="F67" s="166">
        <f t="shared" si="17"/>
        <v>17</v>
      </c>
      <c r="G67" s="183"/>
      <c r="H67" s="169">
        <v>2</v>
      </c>
      <c r="I67" s="175" t="s">
        <v>196</v>
      </c>
      <c r="J67" s="176">
        <f t="shared" si="18"/>
        <v>0</v>
      </c>
      <c r="K67" s="176">
        <f t="shared" si="19"/>
        <v>0</v>
      </c>
      <c r="L67" s="176">
        <f t="shared" si="20"/>
        <v>0</v>
      </c>
      <c r="M67" s="166">
        <f t="shared" si="21"/>
        <v>0</v>
      </c>
    </row>
    <row r="68" spans="1:15" x14ac:dyDescent="0.35">
      <c r="A68" s="169">
        <v>6</v>
      </c>
      <c r="B68" s="175" t="s">
        <v>202</v>
      </c>
      <c r="C68" s="171">
        <f t="shared" si="14"/>
        <v>7</v>
      </c>
      <c r="D68" s="171">
        <f t="shared" si="15"/>
        <v>11</v>
      </c>
      <c r="E68" s="171">
        <f t="shared" si="16"/>
        <v>0</v>
      </c>
      <c r="F68" s="166">
        <f t="shared" si="17"/>
        <v>18</v>
      </c>
      <c r="G68" s="183"/>
      <c r="H68" s="169">
        <v>4</v>
      </c>
      <c r="I68" s="175" t="s">
        <v>198</v>
      </c>
      <c r="J68" s="176">
        <f t="shared" si="18"/>
        <v>0</v>
      </c>
      <c r="K68" s="176">
        <f t="shared" si="19"/>
        <v>0</v>
      </c>
      <c r="L68" s="176">
        <f t="shared" si="20"/>
        <v>0</v>
      </c>
      <c r="M68" s="166">
        <f t="shared" si="21"/>
        <v>0</v>
      </c>
    </row>
    <row r="69" spans="1:15" x14ac:dyDescent="0.35">
      <c r="A69" s="169">
        <v>5</v>
      </c>
      <c r="B69" s="175" t="s">
        <v>199</v>
      </c>
      <c r="C69" s="171">
        <f t="shared" si="14"/>
        <v>6</v>
      </c>
      <c r="D69" s="171">
        <f t="shared" si="15"/>
        <v>11</v>
      </c>
      <c r="E69" s="171">
        <f t="shared" si="16"/>
        <v>10</v>
      </c>
      <c r="F69" s="166">
        <f t="shared" si="17"/>
        <v>27</v>
      </c>
      <c r="G69" s="183"/>
      <c r="H69" s="169">
        <v>5</v>
      </c>
      <c r="I69" s="175" t="s">
        <v>199</v>
      </c>
      <c r="J69" s="176">
        <f t="shared" si="18"/>
        <v>0</v>
      </c>
      <c r="K69" s="176">
        <f t="shared" si="19"/>
        <v>0</v>
      </c>
      <c r="L69" s="176">
        <f t="shared" si="20"/>
        <v>0</v>
      </c>
      <c r="M69" s="166">
        <f t="shared" si="21"/>
        <v>0</v>
      </c>
    </row>
    <row r="70" spans="1:15" x14ac:dyDescent="0.35">
      <c r="A70" s="169">
        <v>8</v>
      </c>
      <c r="B70" s="175" t="s">
        <v>200</v>
      </c>
      <c r="C70" s="171">
        <f t="shared" si="14"/>
        <v>35</v>
      </c>
      <c r="D70" s="171">
        <f t="shared" si="15"/>
        <v>8</v>
      </c>
      <c r="E70" s="171">
        <f t="shared" si="16"/>
        <v>0</v>
      </c>
      <c r="F70" s="166">
        <f t="shared" si="17"/>
        <v>43</v>
      </c>
      <c r="G70" s="183"/>
      <c r="H70" s="169">
        <v>11</v>
      </c>
      <c r="I70" s="175" t="s">
        <v>201</v>
      </c>
      <c r="J70" s="176">
        <f t="shared" si="18"/>
        <v>0</v>
      </c>
      <c r="K70" s="176">
        <f t="shared" si="19"/>
        <v>0</v>
      </c>
      <c r="L70" s="176">
        <f t="shared" si="20"/>
        <v>0</v>
      </c>
      <c r="M70" s="166">
        <f t="shared" si="21"/>
        <v>0</v>
      </c>
    </row>
    <row r="71" spans="1:15" x14ac:dyDescent="0.35">
      <c r="A71" s="169">
        <v>15</v>
      </c>
      <c r="B71" s="175" t="s">
        <v>60</v>
      </c>
      <c r="C71" s="171">
        <f t="shared" si="14"/>
        <v>35</v>
      </c>
      <c r="D71" s="171">
        <f t="shared" si="15"/>
        <v>26</v>
      </c>
      <c r="E71" s="171">
        <f t="shared" si="16"/>
        <v>0</v>
      </c>
      <c r="F71" s="166">
        <f t="shared" si="17"/>
        <v>61</v>
      </c>
      <c r="G71" s="183"/>
      <c r="H71" s="169">
        <v>14</v>
      </c>
      <c r="I71" s="175" t="s">
        <v>86</v>
      </c>
      <c r="J71" s="176">
        <f t="shared" si="18"/>
        <v>0</v>
      </c>
      <c r="K71" s="176">
        <f t="shared" si="19"/>
        <v>0</v>
      </c>
      <c r="L71" s="176">
        <f t="shared" si="20"/>
        <v>0</v>
      </c>
      <c r="M71" s="166">
        <f t="shared" si="21"/>
        <v>0</v>
      </c>
    </row>
    <row r="72" spans="1:15" x14ac:dyDescent="0.35">
      <c r="A72" s="169">
        <v>17</v>
      </c>
      <c r="B72" s="175" t="s">
        <v>70</v>
      </c>
      <c r="C72" s="171">
        <f t="shared" si="14"/>
        <v>27</v>
      </c>
      <c r="D72" s="171">
        <f t="shared" si="15"/>
        <v>36</v>
      </c>
      <c r="E72" s="171">
        <f t="shared" si="16"/>
        <v>0</v>
      </c>
      <c r="F72" s="166">
        <f t="shared" si="17"/>
        <v>63</v>
      </c>
      <c r="G72" s="183"/>
      <c r="H72" s="169">
        <v>16</v>
      </c>
      <c r="I72" s="175" t="s">
        <v>75</v>
      </c>
      <c r="J72" s="176">
        <f t="shared" si="18"/>
        <v>14</v>
      </c>
      <c r="K72" s="176">
        <f t="shared" si="19"/>
        <v>9</v>
      </c>
      <c r="L72" s="176">
        <f t="shared" si="20"/>
        <v>0</v>
      </c>
      <c r="M72" s="166">
        <f t="shared" si="21"/>
        <v>23</v>
      </c>
    </row>
    <row r="73" spans="1:15" x14ac:dyDescent="0.35">
      <c r="A73" s="169">
        <v>16</v>
      </c>
      <c r="B73" s="175" t="s">
        <v>75</v>
      </c>
      <c r="C73" s="171">
        <f t="shared" si="14"/>
        <v>34</v>
      </c>
      <c r="D73" s="171">
        <f t="shared" si="15"/>
        <v>40</v>
      </c>
      <c r="E73" s="171">
        <f t="shared" si="16"/>
        <v>0</v>
      </c>
      <c r="F73" s="166">
        <f t="shared" si="17"/>
        <v>74</v>
      </c>
      <c r="G73" s="183"/>
      <c r="H73" s="169">
        <v>13</v>
      </c>
      <c r="I73" s="175" t="s">
        <v>74</v>
      </c>
      <c r="J73" s="176">
        <f t="shared" si="18"/>
        <v>0</v>
      </c>
      <c r="K73" s="176">
        <f t="shared" si="19"/>
        <v>54</v>
      </c>
      <c r="L73" s="176">
        <f t="shared" si="20"/>
        <v>0</v>
      </c>
      <c r="M73" s="166">
        <f t="shared" si="21"/>
        <v>54</v>
      </c>
    </row>
    <row r="74" spans="1:15" x14ac:dyDescent="0.35">
      <c r="A74" s="169">
        <v>12</v>
      </c>
      <c r="B74" s="175" t="s">
        <v>84</v>
      </c>
      <c r="C74" s="171">
        <f t="shared" si="14"/>
        <v>26</v>
      </c>
      <c r="D74" s="171">
        <f t="shared" si="15"/>
        <v>48</v>
      </c>
      <c r="E74" s="171">
        <f t="shared" si="16"/>
        <v>19</v>
      </c>
      <c r="F74" s="166">
        <f t="shared" si="17"/>
        <v>93</v>
      </c>
      <c r="G74" s="183"/>
      <c r="H74" s="169">
        <v>6</v>
      </c>
      <c r="I74" s="175" t="s">
        <v>202</v>
      </c>
      <c r="J74" s="176">
        <f t="shared" si="18"/>
        <v>58</v>
      </c>
      <c r="K74" s="176">
        <f t="shared" si="19"/>
        <v>29</v>
      </c>
      <c r="L74" s="176">
        <f t="shared" si="20"/>
        <v>10</v>
      </c>
      <c r="M74" s="166">
        <f t="shared" si="21"/>
        <v>97</v>
      </c>
    </row>
    <row r="75" spans="1:15" x14ac:dyDescent="0.35">
      <c r="A75" s="170">
        <v>13</v>
      </c>
      <c r="B75" s="178" t="s">
        <v>74</v>
      </c>
      <c r="C75" s="172">
        <f t="shared" si="14"/>
        <v>65</v>
      </c>
      <c r="D75" s="172">
        <f t="shared" si="15"/>
        <v>104</v>
      </c>
      <c r="E75" s="172">
        <f t="shared" si="16"/>
        <v>26</v>
      </c>
      <c r="F75" s="167">
        <f t="shared" si="17"/>
        <v>195</v>
      </c>
      <c r="G75" s="183"/>
      <c r="H75" s="170">
        <v>3</v>
      </c>
      <c r="I75" s="178" t="s">
        <v>197</v>
      </c>
      <c r="J75" s="179">
        <f t="shared" si="18"/>
        <v>50</v>
      </c>
      <c r="K75" s="179">
        <f t="shared" si="19"/>
        <v>92</v>
      </c>
      <c r="L75" s="179">
        <f t="shared" si="20"/>
        <v>61</v>
      </c>
      <c r="M75" s="167">
        <f t="shared" si="21"/>
        <v>203</v>
      </c>
    </row>
    <row r="77" spans="1:15" s="126" customFormat="1" ht="18.5" x14ac:dyDescent="0.45">
      <c r="B77" s="126" t="s">
        <v>135</v>
      </c>
    </row>
    <row r="78" spans="1:15" s="127" customFormat="1" ht="43.5" customHeight="1" x14ac:dyDescent="0.5">
      <c r="B78" s="128" t="s">
        <v>138</v>
      </c>
    </row>
    <row r="79" spans="1:15" x14ac:dyDescent="0.35">
      <c r="A79" s="50"/>
      <c r="B79" s="158" t="s">
        <v>100</v>
      </c>
      <c r="C79" s="50"/>
      <c r="D79" s="50"/>
      <c r="E79" s="158" t="s">
        <v>175</v>
      </c>
      <c r="F79" s="158"/>
      <c r="I79" s="40" t="s">
        <v>172</v>
      </c>
      <c r="M79" s="40" t="s">
        <v>172</v>
      </c>
    </row>
    <row r="80" spans="1:15" x14ac:dyDescent="0.35">
      <c r="A80" s="168"/>
      <c r="B80" s="164"/>
      <c r="C80" s="165" t="str">
        <f>[1]Data!U30</f>
        <v>Local consultant</v>
      </c>
      <c r="D80" s="182"/>
      <c r="E80" s="168"/>
      <c r="F80" s="164"/>
      <c r="G80" s="165" t="str">
        <f>[1]Data!V30</f>
        <v>Visiting consultant</v>
      </c>
      <c r="H80" s="182"/>
      <c r="I80" s="168"/>
      <c r="J80" s="164"/>
      <c r="K80" s="165" t="str">
        <f>[1]Data!U5</f>
        <v>Local consultant</v>
      </c>
      <c r="L80" s="182"/>
      <c r="M80" s="168"/>
      <c r="N80" s="164"/>
      <c r="O80" s="165" t="str">
        <f>[1]Data!V5</f>
        <v>Visiting consultant</v>
      </c>
    </row>
    <row r="81" spans="1:15" x14ac:dyDescent="0.35">
      <c r="A81" s="169">
        <v>1</v>
      </c>
      <c r="B81" s="175" t="s">
        <v>195</v>
      </c>
      <c r="C81" s="184" t="e">
        <f t="shared" ref="C81:C98" si="22">IF(INDEX(Q1_Paeds,4+$A81,21)="No data",NA(),INDEX(Q1_Paeds,4+$A81,21))</f>
        <v>#N/A</v>
      </c>
      <c r="D81" s="186"/>
      <c r="E81" s="169">
        <v>1</v>
      </c>
      <c r="F81" s="175" t="s">
        <v>195</v>
      </c>
      <c r="G81" s="184" t="e">
        <f t="shared" ref="G81:G98" si="23">IF(INDEX(Q1_Paeds,4+$E81,22)="No data",NA(),INDEX(Q1_Paeds,4+$E81,22))</f>
        <v>#N/A</v>
      </c>
      <c r="H81" s="186"/>
      <c r="I81" s="169">
        <v>7</v>
      </c>
      <c r="J81" s="175" t="s">
        <v>203</v>
      </c>
      <c r="K81" s="184" t="e">
        <f t="shared" ref="K81:K98" si="24">IF(INDEX(Q1_Adult,4+$I81,21)="No data",NA(),INDEX(Q1_Adult,4+$I81,21))</f>
        <v>#N/A</v>
      </c>
      <c r="L81" s="186"/>
      <c r="M81" s="169">
        <v>7</v>
      </c>
      <c r="N81" s="175" t="s">
        <v>203</v>
      </c>
      <c r="O81" s="184" t="e">
        <f t="shared" ref="O81:O98" si="25">IF(INDEX(Q1_Adult,4+$M81,22)="No data",NA(),INDEX(Q1_Adult,4+$M81,22))</f>
        <v>#N/A</v>
      </c>
    </row>
    <row r="82" spans="1:15" x14ac:dyDescent="0.35">
      <c r="A82" s="169">
        <v>3</v>
      </c>
      <c r="B82" s="175" t="s">
        <v>197</v>
      </c>
      <c r="C82" s="184" t="e">
        <f t="shared" si="22"/>
        <v>#N/A</v>
      </c>
      <c r="D82" s="186"/>
      <c r="E82" s="169">
        <v>3</v>
      </c>
      <c r="F82" s="175" t="s">
        <v>197</v>
      </c>
      <c r="G82" s="184" t="e">
        <f t="shared" si="23"/>
        <v>#N/A</v>
      </c>
      <c r="H82" s="186"/>
      <c r="I82" s="169">
        <v>8</v>
      </c>
      <c r="J82" s="175" t="s">
        <v>200</v>
      </c>
      <c r="K82" s="184" t="e">
        <f t="shared" si="24"/>
        <v>#N/A</v>
      </c>
      <c r="L82" s="186"/>
      <c r="M82" s="169">
        <v>8</v>
      </c>
      <c r="N82" s="175" t="s">
        <v>200</v>
      </c>
      <c r="O82" s="184" t="e">
        <f t="shared" si="25"/>
        <v>#N/A</v>
      </c>
    </row>
    <row r="83" spans="1:15" x14ac:dyDescent="0.35">
      <c r="A83" s="169">
        <v>9</v>
      </c>
      <c r="B83" s="175" t="s">
        <v>82</v>
      </c>
      <c r="C83" s="184" t="e">
        <f t="shared" si="22"/>
        <v>#N/A</v>
      </c>
      <c r="D83" s="186"/>
      <c r="E83" s="169">
        <v>9</v>
      </c>
      <c r="F83" s="175" t="s">
        <v>82</v>
      </c>
      <c r="G83" s="184" t="e">
        <f t="shared" si="23"/>
        <v>#N/A</v>
      </c>
      <c r="H83" s="186"/>
      <c r="I83" s="169">
        <v>9</v>
      </c>
      <c r="J83" s="175" t="s">
        <v>82</v>
      </c>
      <c r="K83" s="184" t="e">
        <f t="shared" si="24"/>
        <v>#N/A</v>
      </c>
      <c r="L83" s="186"/>
      <c r="M83" s="169">
        <v>9</v>
      </c>
      <c r="N83" s="175" t="s">
        <v>82</v>
      </c>
      <c r="O83" s="184" t="e">
        <f t="shared" si="25"/>
        <v>#N/A</v>
      </c>
    </row>
    <row r="84" spans="1:15" x14ac:dyDescent="0.35">
      <c r="A84" s="169">
        <v>6</v>
      </c>
      <c r="B84" s="175" t="s">
        <v>202</v>
      </c>
      <c r="C84" s="184">
        <f t="shared" si="22"/>
        <v>0</v>
      </c>
      <c r="D84" s="186"/>
      <c r="E84" s="169">
        <v>2</v>
      </c>
      <c r="F84" s="175" t="s">
        <v>196</v>
      </c>
      <c r="G84" s="184">
        <f t="shared" si="23"/>
        <v>0</v>
      </c>
      <c r="H84" s="186"/>
      <c r="I84" s="169">
        <v>10</v>
      </c>
      <c r="J84" s="175" t="s">
        <v>83</v>
      </c>
      <c r="K84" s="184" t="e">
        <f t="shared" si="24"/>
        <v>#N/A</v>
      </c>
      <c r="L84" s="186"/>
      <c r="M84" s="169">
        <v>10</v>
      </c>
      <c r="N84" s="175" t="s">
        <v>83</v>
      </c>
      <c r="O84" s="184" t="e">
        <f t="shared" si="25"/>
        <v>#N/A</v>
      </c>
    </row>
    <row r="85" spans="1:15" x14ac:dyDescent="0.35">
      <c r="A85" s="169">
        <v>7</v>
      </c>
      <c r="B85" s="175" t="s">
        <v>203</v>
      </c>
      <c r="C85" s="184">
        <f t="shared" si="22"/>
        <v>0</v>
      </c>
      <c r="D85" s="186"/>
      <c r="E85" s="169">
        <v>6</v>
      </c>
      <c r="F85" s="175" t="s">
        <v>202</v>
      </c>
      <c r="G85" s="184">
        <f t="shared" si="23"/>
        <v>0</v>
      </c>
      <c r="H85" s="186"/>
      <c r="I85" s="169">
        <v>12</v>
      </c>
      <c r="J85" s="175" t="s">
        <v>84</v>
      </c>
      <c r="K85" s="184" t="e">
        <f t="shared" si="24"/>
        <v>#N/A</v>
      </c>
      <c r="L85" s="186"/>
      <c r="M85" s="169">
        <v>12</v>
      </c>
      <c r="N85" s="175" t="s">
        <v>84</v>
      </c>
      <c r="O85" s="184" t="e">
        <f t="shared" si="25"/>
        <v>#N/A</v>
      </c>
    </row>
    <row r="86" spans="1:15" x14ac:dyDescent="0.35">
      <c r="A86" s="169">
        <v>14</v>
      </c>
      <c r="B86" s="175" t="s">
        <v>86</v>
      </c>
      <c r="C86" s="184">
        <f t="shared" si="22"/>
        <v>0</v>
      </c>
      <c r="D86" s="186"/>
      <c r="E86" s="169">
        <v>7</v>
      </c>
      <c r="F86" s="175" t="s">
        <v>203</v>
      </c>
      <c r="G86" s="184">
        <f t="shared" si="23"/>
        <v>0</v>
      </c>
      <c r="H86" s="186"/>
      <c r="I86" s="169">
        <v>15</v>
      </c>
      <c r="J86" s="175" t="s">
        <v>60</v>
      </c>
      <c r="K86" s="184" t="e">
        <f t="shared" si="24"/>
        <v>#N/A</v>
      </c>
      <c r="L86" s="186"/>
      <c r="M86" s="169">
        <v>15</v>
      </c>
      <c r="N86" s="175" t="s">
        <v>60</v>
      </c>
      <c r="O86" s="184" t="e">
        <f t="shared" si="25"/>
        <v>#N/A</v>
      </c>
    </row>
    <row r="87" spans="1:15" x14ac:dyDescent="0.35">
      <c r="A87" s="169">
        <v>17</v>
      </c>
      <c r="B87" s="175" t="s">
        <v>70</v>
      </c>
      <c r="C87" s="184">
        <f t="shared" si="22"/>
        <v>2.9000000000000001E-2</v>
      </c>
      <c r="D87" s="186"/>
      <c r="E87" s="169">
        <v>11</v>
      </c>
      <c r="F87" s="175" t="s">
        <v>201</v>
      </c>
      <c r="G87" s="184">
        <f t="shared" si="23"/>
        <v>0</v>
      </c>
      <c r="H87" s="186"/>
      <c r="I87" s="169">
        <v>17</v>
      </c>
      <c r="J87" s="175" t="s">
        <v>70</v>
      </c>
      <c r="K87" s="184" t="e">
        <f t="shared" si="24"/>
        <v>#N/A</v>
      </c>
      <c r="L87" s="186"/>
      <c r="M87" s="169">
        <v>17</v>
      </c>
      <c r="N87" s="175" t="s">
        <v>70</v>
      </c>
      <c r="O87" s="184" t="e">
        <f t="shared" si="25"/>
        <v>#N/A</v>
      </c>
    </row>
    <row r="88" spans="1:15" x14ac:dyDescent="0.35">
      <c r="A88" s="169">
        <v>15</v>
      </c>
      <c r="B88" s="175" t="s">
        <v>60</v>
      </c>
      <c r="C88" s="184">
        <f t="shared" si="22"/>
        <v>5.1999999999999998E-2</v>
      </c>
      <c r="D88" s="186"/>
      <c r="E88" s="169">
        <v>14</v>
      </c>
      <c r="F88" s="175" t="s">
        <v>86</v>
      </c>
      <c r="G88" s="184">
        <f t="shared" si="23"/>
        <v>0</v>
      </c>
      <c r="H88" s="186"/>
      <c r="I88" s="169">
        <v>18</v>
      </c>
      <c r="J88" s="175" t="s">
        <v>87</v>
      </c>
      <c r="K88" s="184" t="e">
        <f t="shared" si="24"/>
        <v>#N/A</v>
      </c>
      <c r="L88" s="186"/>
      <c r="M88" s="169">
        <v>18</v>
      </c>
      <c r="N88" s="175" t="s">
        <v>87</v>
      </c>
      <c r="O88" s="184" t="e">
        <f t="shared" si="25"/>
        <v>#N/A</v>
      </c>
    </row>
    <row r="89" spans="1:15" x14ac:dyDescent="0.35">
      <c r="A89" s="169">
        <v>10</v>
      </c>
      <c r="B89" s="175" t="s">
        <v>83</v>
      </c>
      <c r="C89" s="184">
        <f t="shared" si="22"/>
        <v>5.8000000000000003E-2</v>
      </c>
      <c r="D89" s="186"/>
      <c r="E89" s="169">
        <v>15</v>
      </c>
      <c r="F89" s="175" t="s">
        <v>60</v>
      </c>
      <c r="G89" s="184">
        <f t="shared" si="23"/>
        <v>0</v>
      </c>
      <c r="H89" s="186"/>
      <c r="I89" s="169">
        <v>3</v>
      </c>
      <c r="J89" s="175" t="s">
        <v>197</v>
      </c>
      <c r="K89" s="184">
        <f t="shared" si="24"/>
        <v>0</v>
      </c>
      <c r="L89" s="186"/>
      <c r="M89" s="169">
        <v>1</v>
      </c>
      <c r="N89" s="175" t="s">
        <v>195</v>
      </c>
      <c r="O89" s="184">
        <f t="shared" si="25"/>
        <v>0</v>
      </c>
    </row>
    <row r="90" spans="1:15" x14ac:dyDescent="0.35">
      <c r="A90" s="169">
        <v>11</v>
      </c>
      <c r="B90" s="175" t="s">
        <v>201</v>
      </c>
      <c r="C90" s="184">
        <f t="shared" si="22"/>
        <v>5.8999999999999997E-2</v>
      </c>
      <c r="D90" s="186"/>
      <c r="E90" s="169">
        <v>16</v>
      </c>
      <c r="F90" s="175" t="s">
        <v>75</v>
      </c>
      <c r="G90" s="184">
        <f t="shared" si="23"/>
        <v>0</v>
      </c>
      <c r="H90" s="186"/>
      <c r="I90" s="169">
        <v>5</v>
      </c>
      <c r="J90" s="175" t="s">
        <v>199</v>
      </c>
      <c r="K90" s="184">
        <f t="shared" si="24"/>
        <v>0</v>
      </c>
      <c r="L90" s="186"/>
      <c r="M90" s="169">
        <v>2</v>
      </c>
      <c r="N90" s="175" t="s">
        <v>196</v>
      </c>
      <c r="O90" s="184">
        <f t="shared" si="25"/>
        <v>0</v>
      </c>
    </row>
    <row r="91" spans="1:15" x14ac:dyDescent="0.35">
      <c r="A91" s="169">
        <v>18</v>
      </c>
      <c r="B91" s="175" t="s">
        <v>87</v>
      </c>
      <c r="C91" s="184">
        <f t="shared" si="22"/>
        <v>6.3399999999999998E-2</v>
      </c>
      <c r="D91" s="186"/>
      <c r="E91" s="169">
        <v>17</v>
      </c>
      <c r="F91" s="175" t="s">
        <v>70</v>
      </c>
      <c r="G91" s="184">
        <f t="shared" si="23"/>
        <v>1.6E-2</v>
      </c>
      <c r="H91" s="186"/>
      <c r="I91" s="169">
        <v>6</v>
      </c>
      <c r="J91" s="175" t="s">
        <v>202</v>
      </c>
      <c r="K91" s="184">
        <f t="shared" si="24"/>
        <v>0</v>
      </c>
      <c r="L91" s="186"/>
      <c r="M91" s="169">
        <v>4</v>
      </c>
      <c r="N91" s="175" t="s">
        <v>198</v>
      </c>
      <c r="O91" s="184">
        <f t="shared" si="25"/>
        <v>0</v>
      </c>
    </row>
    <row r="92" spans="1:15" x14ac:dyDescent="0.35">
      <c r="A92" s="169">
        <v>16</v>
      </c>
      <c r="B92" s="175" t="s">
        <v>75</v>
      </c>
      <c r="C92" s="184">
        <f t="shared" si="22"/>
        <v>8.3000000000000004E-2</v>
      </c>
      <c r="D92" s="186"/>
      <c r="E92" s="169">
        <v>5</v>
      </c>
      <c r="F92" s="175" t="s">
        <v>199</v>
      </c>
      <c r="G92" s="184">
        <f t="shared" si="23"/>
        <v>4.65E-2</v>
      </c>
      <c r="H92" s="186"/>
      <c r="I92" s="169">
        <v>16</v>
      </c>
      <c r="J92" s="175" t="s">
        <v>75</v>
      </c>
      <c r="K92" s="184">
        <f t="shared" si="24"/>
        <v>0</v>
      </c>
      <c r="L92" s="186"/>
      <c r="M92" s="169">
        <v>5</v>
      </c>
      <c r="N92" s="175" t="s">
        <v>199</v>
      </c>
      <c r="O92" s="184">
        <f t="shared" si="25"/>
        <v>0</v>
      </c>
    </row>
    <row r="93" spans="1:15" x14ac:dyDescent="0.35">
      <c r="A93" s="169">
        <v>13</v>
      </c>
      <c r="B93" s="175" t="s">
        <v>74</v>
      </c>
      <c r="C93" s="184">
        <f t="shared" si="22"/>
        <v>0.107</v>
      </c>
      <c r="D93" s="186"/>
      <c r="E93" s="169">
        <v>18</v>
      </c>
      <c r="F93" s="175" t="s">
        <v>87</v>
      </c>
      <c r="G93" s="184">
        <f t="shared" si="23"/>
        <v>5.74E-2</v>
      </c>
      <c r="H93" s="186"/>
      <c r="I93" s="169">
        <v>14</v>
      </c>
      <c r="J93" s="175" t="s">
        <v>86</v>
      </c>
      <c r="K93" s="184">
        <f t="shared" si="24"/>
        <v>0.03</v>
      </c>
      <c r="L93" s="186"/>
      <c r="M93" s="169">
        <v>11</v>
      </c>
      <c r="N93" s="175" t="s">
        <v>201</v>
      </c>
      <c r="O93" s="184">
        <f t="shared" si="25"/>
        <v>0</v>
      </c>
    </row>
    <row r="94" spans="1:15" x14ac:dyDescent="0.35">
      <c r="A94" s="169">
        <v>8</v>
      </c>
      <c r="B94" s="175" t="s">
        <v>200</v>
      </c>
      <c r="C94" s="184">
        <f t="shared" si="22"/>
        <v>0.11</v>
      </c>
      <c r="D94" s="186"/>
      <c r="E94" s="169">
        <v>4</v>
      </c>
      <c r="F94" s="175" t="s">
        <v>198</v>
      </c>
      <c r="G94" s="184">
        <f t="shared" si="23"/>
        <v>0.06</v>
      </c>
      <c r="H94" s="186"/>
      <c r="I94" s="169">
        <v>1</v>
      </c>
      <c r="J94" s="175" t="s">
        <v>195</v>
      </c>
      <c r="K94" s="184">
        <f t="shared" si="24"/>
        <v>0.05</v>
      </c>
      <c r="L94" s="186"/>
      <c r="M94" s="169">
        <v>14</v>
      </c>
      <c r="N94" s="175" t="s">
        <v>86</v>
      </c>
      <c r="O94" s="184">
        <f t="shared" si="25"/>
        <v>0</v>
      </c>
    </row>
    <row r="95" spans="1:15" x14ac:dyDescent="0.35">
      <c r="A95" s="169">
        <v>12</v>
      </c>
      <c r="B95" s="175" t="s">
        <v>84</v>
      </c>
      <c r="C95" s="184">
        <f t="shared" si="22"/>
        <v>0.13</v>
      </c>
      <c r="D95" s="186"/>
      <c r="E95" s="169">
        <v>10</v>
      </c>
      <c r="F95" s="175" t="s">
        <v>83</v>
      </c>
      <c r="G95" s="184">
        <f t="shared" si="23"/>
        <v>0.06</v>
      </c>
      <c r="H95" s="186"/>
      <c r="I95" s="169">
        <v>4</v>
      </c>
      <c r="J95" s="175" t="s">
        <v>198</v>
      </c>
      <c r="K95" s="184">
        <f t="shared" si="24"/>
        <v>0.05</v>
      </c>
      <c r="L95" s="186"/>
      <c r="M95" s="169">
        <v>16</v>
      </c>
      <c r="N95" s="175" t="s">
        <v>75</v>
      </c>
      <c r="O95" s="184">
        <f t="shared" si="25"/>
        <v>7.0000000000000007E-2</v>
      </c>
    </row>
    <row r="96" spans="1:15" x14ac:dyDescent="0.35">
      <c r="A96" s="169">
        <v>2</v>
      </c>
      <c r="B96" s="175" t="s">
        <v>196</v>
      </c>
      <c r="C96" s="184">
        <f t="shared" si="22"/>
        <v>0.15</v>
      </c>
      <c r="D96" s="186"/>
      <c r="E96" s="169">
        <v>13</v>
      </c>
      <c r="F96" s="175" t="s">
        <v>74</v>
      </c>
      <c r="G96" s="184">
        <f t="shared" si="23"/>
        <v>6.8000000000000005E-2</v>
      </c>
      <c r="H96" s="186"/>
      <c r="I96" s="169">
        <v>11</v>
      </c>
      <c r="J96" s="175" t="s">
        <v>201</v>
      </c>
      <c r="K96" s="184">
        <f t="shared" si="24"/>
        <v>0.14000000000000001</v>
      </c>
      <c r="L96" s="186"/>
      <c r="M96" s="169">
        <v>6</v>
      </c>
      <c r="N96" s="175" t="s">
        <v>202</v>
      </c>
      <c r="O96" s="184">
        <f t="shared" si="25"/>
        <v>0.08</v>
      </c>
    </row>
    <row r="97" spans="1:15" x14ac:dyDescent="0.35">
      <c r="A97" s="169">
        <v>5</v>
      </c>
      <c r="B97" s="175" t="s">
        <v>199</v>
      </c>
      <c r="C97" s="184">
        <f t="shared" si="22"/>
        <v>0.20369999999999999</v>
      </c>
      <c r="D97" s="186"/>
      <c r="E97" s="169">
        <v>12</v>
      </c>
      <c r="F97" s="175" t="s">
        <v>84</v>
      </c>
      <c r="G97" s="184">
        <f t="shared" si="23"/>
        <v>7.0000000000000007E-2</v>
      </c>
      <c r="H97" s="186"/>
      <c r="I97" s="169">
        <v>13</v>
      </c>
      <c r="J97" s="175" t="s">
        <v>74</v>
      </c>
      <c r="K97" s="184">
        <f t="shared" si="24"/>
        <v>0.17</v>
      </c>
      <c r="L97" s="186"/>
      <c r="M97" s="169">
        <v>13</v>
      </c>
      <c r="N97" s="175" t="s">
        <v>74</v>
      </c>
      <c r="O97" s="184">
        <f t="shared" si="25"/>
        <v>0.17</v>
      </c>
    </row>
    <row r="98" spans="1:15" x14ac:dyDescent="0.35">
      <c r="A98" s="170">
        <v>4</v>
      </c>
      <c r="B98" s="178" t="s">
        <v>198</v>
      </c>
      <c r="C98" s="185">
        <f t="shared" si="22"/>
        <v>0.3095</v>
      </c>
      <c r="D98" s="186"/>
      <c r="E98" s="170">
        <v>8</v>
      </c>
      <c r="F98" s="178" t="s">
        <v>200</v>
      </c>
      <c r="G98" s="185">
        <f t="shared" si="23"/>
        <v>0.1</v>
      </c>
      <c r="H98" s="186"/>
      <c r="I98" s="170">
        <v>2</v>
      </c>
      <c r="J98" s="178" t="s">
        <v>196</v>
      </c>
      <c r="K98" s="185">
        <f t="shared" si="24"/>
        <v>0.255</v>
      </c>
      <c r="L98" s="186"/>
      <c r="M98" s="170">
        <v>3</v>
      </c>
      <c r="N98" s="178" t="s">
        <v>197</v>
      </c>
      <c r="O98" s="185">
        <f t="shared" si="25"/>
        <v>0.19</v>
      </c>
    </row>
    <row r="99" spans="1:15" s="50" customFormat="1" x14ac:dyDescent="0.35">
      <c r="B99" s="92"/>
      <c r="C99" s="129"/>
      <c r="D99" s="129"/>
      <c r="E99" s="92"/>
      <c r="F99" s="129"/>
    </row>
    <row r="100" spans="1:15" ht="18.5" x14ac:dyDescent="0.35">
      <c r="B100" s="130" t="s">
        <v>212</v>
      </c>
      <c r="F100" s="130" t="s">
        <v>214</v>
      </c>
    </row>
    <row r="101" spans="1:15" x14ac:dyDescent="0.35">
      <c r="A101" s="277" t="s">
        <v>101</v>
      </c>
      <c r="B101" s="491" t="s">
        <v>211</v>
      </c>
      <c r="C101" s="492"/>
      <c r="D101" s="278"/>
      <c r="E101" s="279" t="s">
        <v>101</v>
      </c>
      <c r="F101" s="493" t="s">
        <v>6</v>
      </c>
      <c r="G101" s="493"/>
      <c r="H101" s="493" t="s">
        <v>7</v>
      </c>
      <c r="I101" s="493"/>
      <c r="J101" s="493" t="s">
        <v>8</v>
      </c>
      <c r="K101" s="493"/>
      <c r="L101" s="493" t="s">
        <v>9</v>
      </c>
      <c r="M101" s="493"/>
    </row>
    <row r="102" spans="1:15" ht="15" customHeight="1" x14ac:dyDescent="0.35">
      <c r="A102" s="280" t="s">
        <v>67</v>
      </c>
      <c r="B102" s="281" t="s">
        <v>2</v>
      </c>
      <c r="C102" s="282" t="s">
        <v>102</v>
      </c>
      <c r="D102" s="278"/>
      <c r="E102" s="283" t="s">
        <v>67</v>
      </c>
      <c r="F102" s="284" t="s">
        <v>2</v>
      </c>
      <c r="G102" s="285" t="s">
        <v>102</v>
      </c>
      <c r="H102" s="286" t="s">
        <v>2</v>
      </c>
      <c r="I102" s="287" t="s">
        <v>102</v>
      </c>
      <c r="J102" s="288" t="s">
        <v>2</v>
      </c>
      <c r="K102" s="285" t="s">
        <v>102</v>
      </c>
      <c r="L102" s="289" t="s">
        <v>2</v>
      </c>
      <c r="M102" s="287" t="s">
        <v>102</v>
      </c>
      <c r="N102" s="55"/>
    </row>
    <row r="103" spans="1:15" x14ac:dyDescent="0.35">
      <c r="A103" s="290" t="s">
        <v>209</v>
      </c>
      <c r="B103" s="291">
        <f>_xlfn.AGGREGATE(4,6,$K$81:$K$98)</f>
        <v>0.255</v>
      </c>
      <c r="C103" s="292">
        <f>_xlfn.AGGREGATE(4,6,$O$81:$O$98)</f>
        <v>0.19</v>
      </c>
      <c r="D103" s="278"/>
      <c r="E103" s="279" t="s">
        <v>209</v>
      </c>
      <c r="F103" s="293">
        <v>0.255</v>
      </c>
      <c r="G103" s="294">
        <v>0.19</v>
      </c>
      <c r="H103" s="293"/>
      <c r="I103" s="294"/>
      <c r="J103" s="295"/>
      <c r="K103" s="294"/>
      <c r="L103" s="296"/>
      <c r="M103" s="294"/>
      <c r="N103" s="55"/>
    </row>
    <row r="104" spans="1:15" x14ac:dyDescent="0.35">
      <c r="A104" s="290" t="s">
        <v>207</v>
      </c>
      <c r="B104" s="291">
        <f>_xlfn.AGGREGATE(5,6,$K$81:$K$98)</f>
        <v>0</v>
      </c>
      <c r="C104" s="292">
        <f>_xlfn.AGGREGATE(5,6,$O$81:$O$98)</f>
        <v>0</v>
      </c>
      <c r="D104" s="278"/>
      <c r="E104" s="279" t="s">
        <v>207</v>
      </c>
      <c r="F104" s="293">
        <v>0</v>
      </c>
      <c r="G104" s="294">
        <v>0</v>
      </c>
      <c r="H104" s="293"/>
      <c r="I104" s="294"/>
      <c r="J104" s="295"/>
      <c r="K104" s="294"/>
      <c r="L104" s="296"/>
      <c r="M104" s="294"/>
      <c r="N104" s="55"/>
    </row>
    <row r="105" spans="1:15" x14ac:dyDescent="0.35">
      <c r="A105" s="297" t="s">
        <v>208</v>
      </c>
      <c r="B105" s="298">
        <f>_xlfn.AGGREGATE(12,6,$K$81:$K$98)</f>
        <v>0.04</v>
      </c>
      <c r="C105" s="299">
        <f>_xlfn.AGGREGATE(12,6,$O$81:$O$98)</f>
        <v>0</v>
      </c>
      <c r="D105" s="278"/>
      <c r="E105" s="279" t="s">
        <v>208</v>
      </c>
      <c r="F105" s="300">
        <v>0.04</v>
      </c>
      <c r="G105" s="301">
        <v>0</v>
      </c>
      <c r="H105" s="300"/>
      <c r="I105" s="301"/>
      <c r="J105" s="302"/>
      <c r="K105" s="301"/>
      <c r="L105" s="303"/>
      <c r="M105" s="301"/>
      <c r="N105" s="55"/>
    </row>
    <row r="106" spans="1:15" x14ac:dyDescent="0.35">
      <c r="A106" s="278"/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</row>
    <row r="107" spans="1:15" x14ac:dyDescent="0.35">
      <c r="A107" s="288" t="s">
        <v>103</v>
      </c>
      <c r="B107" s="491" t="s">
        <v>211</v>
      </c>
      <c r="C107" s="492"/>
      <c r="D107" s="278"/>
      <c r="E107" s="304" t="s">
        <v>103</v>
      </c>
      <c r="F107" s="493" t="s">
        <v>6</v>
      </c>
      <c r="G107" s="493"/>
      <c r="H107" s="493" t="s">
        <v>7</v>
      </c>
      <c r="I107" s="493"/>
      <c r="J107" s="493" t="s">
        <v>8</v>
      </c>
      <c r="K107" s="493"/>
      <c r="L107" s="493" t="s">
        <v>9</v>
      </c>
      <c r="M107" s="493"/>
    </row>
    <row r="108" spans="1:15" x14ac:dyDescent="0.35">
      <c r="A108" s="305" t="s">
        <v>16</v>
      </c>
      <c r="B108" s="306" t="s">
        <v>2</v>
      </c>
      <c r="C108" s="307" t="s">
        <v>102</v>
      </c>
      <c r="D108" s="278"/>
      <c r="E108" s="304" t="s">
        <v>16</v>
      </c>
      <c r="F108" s="284" t="s">
        <v>2</v>
      </c>
      <c r="G108" s="285" t="s">
        <v>102</v>
      </c>
      <c r="H108" s="286" t="s">
        <v>2</v>
      </c>
      <c r="I108" s="287" t="s">
        <v>102</v>
      </c>
      <c r="J108" s="288" t="s">
        <v>2</v>
      </c>
      <c r="K108" s="285" t="s">
        <v>102</v>
      </c>
      <c r="L108" s="289" t="s">
        <v>2</v>
      </c>
      <c r="M108" s="287" t="s">
        <v>102</v>
      </c>
    </row>
    <row r="109" spans="1:15" x14ac:dyDescent="0.35">
      <c r="A109" s="290" t="s">
        <v>209</v>
      </c>
      <c r="B109" s="291">
        <f>_xlfn.AGGREGATE(4,6,$C$81:$C$98)</f>
        <v>0.3095</v>
      </c>
      <c r="C109" s="292">
        <f>_xlfn.AGGREGATE(4,6,$G$81:$G$98)</f>
        <v>0.1</v>
      </c>
      <c r="D109" s="278"/>
      <c r="E109" s="279" t="s">
        <v>209</v>
      </c>
      <c r="F109" s="293">
        <v>0.3095</v>
      </c>
      <c r="G109" s="294">
        <v>0.1</v>
      </c>
      <c r="H109" s="293"/>
      <c r="I109" s="294"/>
      <c r="J109" s="295"/>
      <c r="K109" s="294"/>
      <c r="L109" s="296"/>
      <c r="M109" s="294"/>
    </row>
    <row r="110" spans="1:15" x14ac:dyDescent="0.35">
      <c r="A110" s="290" t="s">
        <v>207</v>
      </c>
      <c r="B110" s="291">
        <f>_xlfn.AGGREGATE(5,6,$C$81:$C$98)</f>
        <v>0</v>
      </c>
      <c r="C110" s="292">
        <f>_xlfn.AGGREGATE(5,6,$G$81:$G$98)</f>
        <v>0</v>
      </c>
      <c r="D110" s="278"/>
      <c r="E110" s="279" t="s">
        <v>207</v>
      </c>
      <c r="F110" s="293">
        <v>0</v>
      </c>
      <c r="G110" s="294">
        <v>0</v>
      </c>
      <c r="H110" s="293"/>
      <c r="I110" s="294"/>
      <c r="J110" s="295"/>
      <c r="K110" s="294"/>
      <c r="L110" s="296"/>
      <c r="M110" s="294"/>
    </row>
    <row r="111" spans="1:15" x14ac:dyDescent="0.35">
      <c r="A111" s="297" t="s">
        <v>208</v>
      </c>
      <c r="B111" s="298">
        <f>_xlfn.AGGREGATE(12,6,$C$81:$C$98)</f>
        <v>6.3399999999999998E-2</v>
      </c>
      <c r="C111" s="299">
        <f>_xlfn.AGGREGATE(12,6,$G$81:$G$98)</f>
        <v>1.6E-2</v>
      </c>
      <c r="D111" s="278"/>
      <c r="E111" s="279" t="s">
        <v>208</v>
      </c>
      <c r="F111" s="300">
        <v>6.3399999999999998E-2</v>
      </c>
      <c r="G111" s="301">
        <v>1.6E-2</v>
      </c>
      <c r="H111" s="300"/>
      <c r="I111" s="301"/>
      <c r="J111" s="302"/>
      <c r="K111" s="301"/>
      <c r="L111" s="303"/>
      <c r="M111" s="301"/>
    </row>
  </sheetData>
  <autoFilter ref="A9:E9" xr:uid="{00000000-0009-0000-0000-000011000000}">
    <sortState xmlns:xlrd2="http://schemas.microsoft.com/office/spreadsheetml/2017/richdata2" ref="A10:E27">
      <sortCondition descending="1" ref="E9"/>
    </sortState>
  </autoFilter>
  <sortState xmlns:xlrd2="http://schemas.microsoft.com/office/spreadsheetml/2017/richdata2" ref="M89:O98">
    <sortCondition ref="O89:O98"/>
  </sortState>
  <mergeCells count="10">
    <mergeCell ref="L101:M101"/>
    <mergeCell ref="F107:G107"/>
    <mergeCell ref="H107:I107"/>
    <mergeCell ref="J107:K107"/>
    <mergeCell ref="L107:M107"/>
    <mergeCell ref="B101:C101"/>
    <mergeCell ref="B107:C107"/>
    <mergeCell ref="F101:G101"/>
    <mergeCell ref="H101:I101"/>
    <mergeCell ref="J101:K1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P23"/>
  <sheetViews>
    <sheetView showGridLines="0" workbookViewId="0">
      <selection activeCell="D5" sqref="D5"/>
    </sheetView>
  </sheetViews>
  <sheetFormatPr defaultColWidth="0" defaultRowHeight="14.5" x14ac:dyDescent="0.35"/>
  <cols>
    <col min="1" max="1" width="9.1796875" customWidth="1"/>
    <col min="2" max="2" width="30.81640625" customWidth="1"/>
    <col min="3" max="3" width="59.1796875" customWidth="1"/>
    <col min="4" max="4" width="16.453125" customWidth="1"/>
    <col min="5" max="5" width="40" customWidth="1"/>
    <col min="6" max="16" width="9.1796875" customWidth="1"/>
    <col min="17" max="16384" width="9.1796875" hidden="1"/>
  </cols>
  <sheetData>
    <row r="2" spans="2:5" ht="18" customHeight="1" x14ac:dyDescent="0.35">
      <c r="B2" s="329" t="s">
        <v>148</v>
      </c>
      <c r="C2" s="329"/>
      <c r="D2" s="155"/>
      <c r="E2" s="155"/>
    </row>
    <row r="3" spans="2:5" ht="16" thickBot="1" x14ac:dyDescent="0.4">
      <c r="B3" s="155"/>
      <c r="C3" s="155" t="s">
        <v>149</v>
      </c>
      <c r="D3" s="155" t="s">
        <v>150</v>
      </c>
      <c r="E3" s="155" t="s">
        <v>151</v>
      </c>
    </row>
    <row r="4" spans="2:5" ht="21" customHeight="1" x14ac:dyDescent="0.35">
      <c r="B4" s="330" t="s">
        <v>152</v>
      </c>
      <c r="C4" s="331" t="s">
        <v>153</v>
      </c>
      <c r="D4" s="131" t="s">
        <v>154</v>
      </c>
      <c r="E4" s="332" t="s">
        <v>157</v>
      </c>
    </row>
    <row r="5" spans="2:5" ht="21" customHeight="1" x14ac:dyDescent="0.35">
      <c r="B5" s="330"/>
      <c r="C5" s="331"/>
      <c r="D5" s="132" t="s">
        <v>155</v>
      </c>
      <c r="E5" s="332"/>
    </row>
    <row r="6" spans="2:5" ht="21" customHeight="1" thickBot="1" x14ac:dyDescent="0.4">
      <c r="B6" s="330"/>
      <c r="C6" s="331"/>
      <c r="D6" s="133" t="s">
        <v>156</v>
      </c>
      <c r="E6" s="332"/>
    </row>
    <row r="7" spans="2:5" ht="21" customHeight="1" x14ac:dyDescent="0.35">
      <c r="B7" s="330"/>
      <c r="C7" s="331" t="s">
        <v>158</v>
      </c>
      <c r="D7" s="131" t="s">
        <v>154</v>
      </c>
      <c r="E7" s="332"/>
    </row>
    <row r="8" spans="2:5" ht="21" customHeight="1" x14ac:dyDescent="0.35">
      <c r="B8" s="330"/>
      <c r="C8" s="331"/>
      <c r="D8" s="132" t="s">
        <v>155</v>
      </c>
      <c r="E8" s="332"/>
    </row>
    <row r="9" spans="2:5" ht="21" customHeight="1" thickBot="1" x14ac:dyDescent="0.4">
      <c r="B9" s="330"/>
      <c r="C9" s="331"/>
      <c r="D9" s="133" t="s">
        <v>156</v>
      </c>
      <c r="E9" s="332"/>
    </row>
    <row r="10" spans="2:5" ht="21.65" customHeight="1" x14ac:dyDescent="0.35">
      <c r="B10" s="330" t="s">
        <v>159</v>
      </c>
      <c r="C10" s="157" t="s">
        <v>160</v>
      </c>
      <c r="D10" s="156" t="s">
        <v>164</v>
      </c>
      <c r="E10" s="331" t="s">
        <v>165</v>
      </c>
    </row>
    <row r="11" spans="2:5" ht="21.65" customHeight="1" thickBot="1" x14ac:dyDescent="0.4">
      <c r="B11" s="330"/>
      <c r="C11" s="157" t="s">
        <v>161</v>
      </c>
      <c r="D11" s="133" t="s">
        <v>110</v>
      </c>
      <c r="E11" s="331"/>
    </row>
    <row r="12" spans="2:5" ht="21.65" customHeight="1" thickBot="1" x14ac:dyDescent="0.4">
      <c r="B12" s="330"/>
      <c r="C12" s="157" t="s">
        <v>162</v>
      </c>
      <c r="D12" s="132" t="s">
        <v>110</v>
      </c>
      <c r="E12" s="331"/>
    </row>
    <row r="13" spans="2:5" ht="21.65" customHeight="1" x14ac:dyDescent="0.35">
      <c r="B13" s="330"/>
      <c r="C13" s="157" t="s">
        <v>163</v>
      </c>
      <c r="D13" s="131" t="s">
        <v>110</v>
      </c>
      <c r="E13" s="331"/>
    </row>
    <row r="14" spans="2:5" ht="21.65" customHeight="1" x14ac:dyDescent="0.35">
      <c r="B14" s="330" t="s">
        <v>166</v>
      </c>
      <c r="C14" s="157" t="s">
        <v>160</v>
      </c>
      <c r="D14" s="156" t="s">
        <v>164</v>
      </c>
      <c r="E14" s="331"/>
    </row>
    <row r="15" spans="2:5" ht="21.65" customHeight="1" thickBot="1" x14ac:dyDescent="0.4">
      <c r="B15" s="330"/>
      <c r="C15" s="157" t="s">
        <v>161</v>
      </c>
      <c r="D15" s="133" t="s">
        <v>110</v>
      </c>
      <c r="E15" s="331"/>
    </row>
    <row r="16" spans="2:5" ht="21.65" customHeight="1" thickBot="1" x14ac:dyDescent="0.4">
      <c r="B16" s="330"/>
      <c r="C16" s="157" t="s">
        <v>162</v>
      </c>
      <c r="D16" s="132" t="s">
        <v>110</v>
      </c>
      <c r="E16" s="331"/>
    </row>
    <row r="17" spans="2:5" ht="21.65" customHeight="1" thickBot="1" x14ac:dyDescent="0.4">
      <c r="B17" s="330"/>
      <c r="C17" s="157" t="s">
        <v>163</v>
      </c>
      <c r="D17" s="131" t="s">
        <v>110</v>
      </c>
      <c r="E17" s="331"/>
    </row>
    <row r="18" spans="2:5" ht="21.65" customHeight="1" x14ac:dyDescent="0.35">
      <c r="B18" s="330" t="s">
        <v>167</v>
      </c>
      <c r="C18" s="331" t="s">
        <v>169</v>
      </c>
      <c r="D18" s="131" t="s">
        <v>107</v>
      </c>
      <c r="E18" s="331" t="s">
        <v>171</v>
      </c>
    </row>
    <row r="19" spans="2:5" ht="21.65" customHeight="1" x14ac:dyDescent="0.35">
      <c r="B19" s="330"/>
      <c r="C19" s="331"/>
      <c r="D19" s="132" t="s">
        <v>108</v>
      </c>
      <c r="E19" s="331"/>
    </row>
    <row r="20" spans="2:5" ht="21.65" customHeight="1" thickBot="1" x14ac:dyDescent="0.4">
      <c r="B20" s="330"/>
      <c r="C20" s="331"/>
      <c r="D20" s="133" t="s">
        <v>109</v>
      </c>
      <c r="E20" s="331"/>
    </row>
    <row r="21" spans="2:5" ht="21.65" customHeight="1" x14ac:dyDescent="0.35">
      <c r="B21" s="330" t="s">
        <v>168</v>
      </c>
      <c r="C21" s="331" t="s">
        <v>170</v>
      </c>
      <c r="D21" s="131" t="s">
        <v>107</v>
      </c>
      <c r="E21" s="331"/>
    </row>
    <row r="22" spans="2:5" ht="21.65" customHeight="1" x14ac:dyDescent="0.35">
      <c r="B22" s="330"/>
      <c r="C22" s="331"/>
      <c r="D22" s="132" t="s">
        <v>108</v>
      </c>
      <c r="E22" s="331"/>
    </row>
    <row r="23" spans="2:5" ht="21.65" customHeight="1" thickBot="1" x14ac:dyDescent="0.4">
      <c r="B23" s="330"/>
      <c r="C23" s="331"/>
      <c r="D23" s="133" t="s">
        <v>109</v>
      </c>
      <c r="E23" s="331"/>
    </row>
  </sheetData>
  <sheetProtection algorithmName="SHA-512" hashValue="N+z2k4OZ9AtTSy9MMBAUbS7nF30NZC8kcrg6btRI4z+J7zuyX3rHORC1Azs0GjecklTvgr/HHM2Jv4eOn221yQ==" saltValue="zV5fHClH82sxh6VUh8GbEw==" spinCount="100000" sheet="1" objects="1" scenarios="1" selectLockedCell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6"/>
  <sheetViews>
    <sheetView topLeftCell="A79" zoomScale="90" zoomScaleNormal="90" workbookViewId="0">
      <selection activeCell="I116" sqref="I116"/>
    </sheetView>
  </sheetViews>
  <sheetFormatPr defaultColWidth="8.7265625" defaultRowHeight="14.5" x14ac:dyDescent="0.35"/>
  <cols>
    <col min="1" max="16" width="12.26953125" style="39" customWidth="1"/>
    <col min="17" max="16384" width="8.7265625" style="39"/>
  </cols>
  <sheetData>
    <row r="1" spans="1:12" ht="23.5" x14ac:dyDescent="0.55000000000000004">
      <c r="B1" s="191" t="s">
        <v>225</v>
      </c>
    </row>
    <row r="3" spans="1:12" x14ac:dyDescent="0.35">
      <c r="A3" s="229"/>
      <c r="B3" s="40" t="s">
        <v>176</v>
      </c>
      <c r="E3" s="229"/>
    </row>
    <row r="4" spans="1:12" x14ac:dyDescent="0.35">
      <c r="A4" s="229"/>
      <c r="B4" s="40" t="s">
        <v>177</v>
      </c>
      <c r="E4" s="229"/>
    </row>
    <row r="5" spans="1:12" x14ac:dyDescent="0.35">
      <c r="A5" s="229"/>
      <c r="B5" s="40" t="s">
        <v>178</v>
      </c>
      <c r="E5" s="229"/>
    </row>
    <row r="6" spans="1:12" s="125" customFormat="1" ht="21" x14ac:dyDescent="0.5">
      <c r="A6" s="230"/>
      <c r="B6" s="124" t="s">
        <v>132</v>
      </c>
      <c r="E6" s="230"/>
    </row>
    <row r="7" spans="1:12" s="127" customFormat="1" ht="43.5" customHeight="1" x14ac:dyDescent="0.5">
      <c r="A7" s="231"/>
      <c r="B7" s="128" t="s">
        <v>194</v>
      </c>
      <c r="E7" s="231"/>
    </row>
    <row r="8" spans="1:12" x14ac:dyDescent="0.35">
      <c r="B8" s="40" t="s">
        <v>133</v>
      </c>
      <c r="H8" s="229"/>
      <c r="I8" s="232" t="s">
        <v>67</v>
      </c>
      <c r="J8" s="229"/>
      <c r="K8" s="229"/>
      <c r="L8" s="229"/>
    </row>
    <row r="9" spans="1:12" ht="29" x14ac:dyDescent="0.35">
      <c r="A9" s="168"/>
      <c r="B9" s="181"/>
      <c r="C9" s="173" t="s">
        <v>13</v>
      </c>
      <c r="D9" s="173" t="s">
        <v>21</v>
      </c>
      <c r="E9" s="174" t="s">
        <v>37</v>
      </c>
      <c r="H9" s="168"/>
      <c r="I9" s="164"/>
      <c r="J9" s="173" t="s">
        <v>13</v>
      </c>
      <c r="K9" s="173" t="s">
        <v>21</v>
      </c>
      <c r="L9" s="174" t="s">
        <v>37</v>
      </c>
    </row>
    <row r="10" spans="1:12" x14ac:dyDescent="0.35">
      <c r="A10" s="169">
        <v>16</v>
      </c>
      <c r="B10" s="175" t="s">
        <v>75</v>
      </c>
      <c r="C10" s="176" t="e">
        <f t="shared" ref="C10:C27" si="0">IF(INDEX(Q2_Paeds,4+$A10,7)="No data",NA(),INDEX(Q2_Paeds,4+$A10,7))</f>
        <v>#N/A</v>
      </c>
      <c r="D10" s="176" t="e">
        <f t="shared" ref="D10:D27" si="1">IF(INDEX(Q2_Paeds,4+$A10,8)="No data",NA(),INDEX(Q2_Paeds,4+$A10,8))</f>
        <v>#N/A</v>
      </c>
      <c r="E10" s="177" t="e">
        <f t="shared" ref="E10:E27" si="2">MAX(C10:D10)</f>
        <v>#N/A</v>
      </c>
      <c r="H10" s="169">
        <v>4</v>
      </c>
      <c r="I10" s="175" t="s">
        <v>198</v>
      </c>
      <c r="J10" s="176" t="e">
        <f t="shared" ref="J10:J27" si="3">IF(INDEX(Q2_Adult,4+$H10,7)="No data",NA(),INDEX(Q2_Adult,4+$H10,7))</f>
        <v>#N/A</v>
      </c>
      <c r="K10" s="176" t="e">
        <f t="shared" ref="K10:K27" si="4">IF(INDEX(Q2_Adult,4+$H10,8)="No data",NA(),INDEX(Q2_Adult,4+$H10,8))</f>
        <v>#N/A</v>
      </c>
      <c r="L10" s="177" t="e">
        <f t="shared" ref="L10:L27" si="5">MAX(J10:K10)</f>
        <v>#N/A</v>
      </c>
    </row>
    <row r="11" spans="1:12" x14ac:dyDescent="0.35">
      <c r="A11" s="169">
        <v>14</v>
      </c>
      <c r="B11" s="175" t="s">
        <v>86</v>
      </c>
      <c r="C11" s="176" t="e">
        <f t="shared" si="0"/>
        <v>#N/A</v>
      </c>
      <c r="D11" s="176" t="e">
        <f t="shared" si="1"/>
        <v>#N/A</v>
      </c>
      <c r="E11" s="177" t="e">
        <f t="shared" si="2"/>
        <v>#N/A</v>
      </c>
      <c r="H11" s="169">
        <v>7</v>
      </c>
      <c r="I11" s="175" t="s">
        <v>203</v>
      </c>
      <c r="J11" s="176" t="e">
        <f t="shared" si="3"/>
        <v>#N/A</v>
      </c>
      <c r="K11" s="176" t="e">
        <f t="shared" si="4"/>
        <v>#N/A</v>
      </c>
      <c r="L11" s="177" t="e">
        <f t="shared" si="5"/>
        <v>#N/A</v>
      </c>
    </row>
    <row r="12" spans="1:12" x14ac:dyDescent="0.35">
      <c r="A12" s="169">
        <v>9</v>
      </c>
      <c r="B12" s="175" t="s">
        <v>82</v>
      </c>
      <c r="C12" s="176" t="e">
        <f t="shared" si="0"/>
        <v>#N/A</v>
      </c>
      <c r="D12" s="176" t="e">
        <f t="shared" si="1"/>
        <v>#N/A</v>
      </c>
      <c r="E12" s="177" t="e">
        <f t="shared" si="2"/>
        <v>#N/A</v>
      </c>
      <c r="H12" s="169">
        <v>10</v>
      </c>
      <c r="I12" s="175" t="s">
        <v>83</v>
      </c>
      <c r="J12" s="176" t="e">
        <f t="shared" si="3"/>
        <v>#N/A</v>
      </c>
      <c r="K12" s="176" t="e">
        <f t="shared" si="4"/>
        <v>#N/A</v>
      </c>
      <c r="L12" s="177" t="e">
        <f t="shared" si="5"/>
        <v>#N/A</v>
      </c>
    </row>
    <row r="13" spans="1:12" x14ac:dyDescent="0.35">
      <c r="A13" s="169">
        <v>3</v>
      </c>
      <c r="B13" s="175" t="s">
        <v>197</v>
      </c>
      <c r="C13" s="176" t="e">
        <f t="shared" si="0"/>
        <v>#N/A</v>
      </c>
      <c r="D13" s="176" t="e">
        <f t="shared" si="1"/>
        <v>#N/A</v>
      </c>
      <c r="E13" s="177" t="e">
        <f t="shared" si="2"/>
        <v>#N/A</v>
      </c>
      <c r="H13" s="169">
        <v>12</v>
      </c>
      <c r="I13" s="175" t="s">
        <v>84</v>
      </c>
      <c r="J13" s="176" t="e">
        <f t="shared" si="3"/>
        <v>#N/A</v>
      </c>
      <c r="K13" s="176" t="e">
        <f t="shared" si="4"/>
        <v>#N/A</v>
      </c>
      <c r="L13" s="177" t="e">
        <f t="shared" si="5"/>
        <v>#N/A</v>
      </c>
    </row>
    <row r="14" spans="1:12" x14ac:dyDescent="0.35">
      <c r="A14" s="169">
        <v>1</v>
      </c>
      <c r="B14" s="175" t="s">
        <v>195</v>
      </c>
      <c r="C14" s="176" t="e">
        <f t="shared" si="0"/>
        <v>#N/A</v>
      </c>
      <c r="D14" s="176" t="e">
        <f t="shared" si="1"/>
        <v>#N/A</v>
      </c>
      <c r="E14" s="177" t="e">
        <f t="shared" si="2"/>
        <v>#N/A</v>
      </c>
      <c r="H14" s="169">
        <v>15</v>
      </c>
      <c r="I14" s="175" t="s">
        <v>60</v>
      </c>
      <c r="J14" s="176" t="e">
        <f t="shared" si="3"/>
        <v>#N/A</v>
      </c>
      <c r="K14" s="176" t="e">
        <f t="shared" si="4"/>
        <v>#N/A</v>
      </c>
      <c r="L14" s="177" t="e">
        <f t="shared" si="5"/>
        <v>#N/A</v>
      </c>
    </row>
    <row r="15" spans="1:12" x14ac:dyDescent="0.35">
      <c r="A15" s="169">
        <v>17</v>
      </c>
      <c r="B15" s="175" t="s">
        <v>70</v>
      </c>
      <c r="C15" s="176">
        <f t="shared" si="0"/>
        <v>5</v>
      </c>
      <c r="D15" s="176">
        <f t="shared" si="1"/>
        <v>6</v>
      </c>
      <c r="E15" s="177">
        <f t="shared" si="2"/>
        <v>6</v>
      </c>
      <c r="H15" s="169">
        <v>11</v>
      </c>
      <c r="I15" s="175" t="s">
        <v>201</v>
      </c>
      <c r="J15" s="176">
        <f t="shared" si="3"/>
        <v>24</v>
      </c>
      <c r="K15" s="176" t="e">
        <f t="shared" si="4"/>
        <v>#N/A</v>
      </c>
      <c r="L15" s="177" t="e">
        <f t="shared" si="5"/>
        <v>#N/A</v>
      </c>
    </row>
    <row r="16" spans="1:12" x14ac:dyDescent="0.35">
      <c r="A16" s="169">
        <v>15</v>
      </c>
      <c r="B16" s="175" t="s">
        <v>60</v>
      </c>
      <c r="C16" s="176">
        <f t="shared" si="0"/>
        <v>7</v>
      </c>
      <c r="D16" s="176">
        <f t="shared" si="1"/>
        <v>6</v>
      </c>
      <c r="E16" s="177">
        <f t="shared" si="2"/>
        <v>7</v>
      </c>
      <c r="H16" s="169">
        <v>1</v>
      </c>
      <c r="I16" s="175" t="s">
        <v>195</v>
      </c>
      <c r="J16" s="176">
        <f t="shared" si="3"/>
        <v>0</v>
      </c>
      <c r="K16" s="176">
        <f t="shared" si="4"/>
        <v>0</v>
      </c>
      <c r="L16" s="177">
        <f t="shared" si="5"/>
        <v>0</v>
      </c>
    </row>
    <row r="17" spans="1:16" x14ac:dyDescent="0.35">
      <c r="A17" s="169">
        <v>2</v>
      </c>
      <c r="B17" s="175" t="s">
        <v>196</v>
      </c>
      <c r="C17" s="176">
        <f t="shared" si="0"/>
        <v>8</v>
      </c>
      <c r="D17" s="176">
        <f t="shared" si="1"/>
        <v>0</v>
      </c>
      <c r="E17" s="177">
        <f t="shared" si="2"/>
        <v>8</v>
      </c>
      <c r="H17" s="169">
        <v>5</v>
      </c>
      <c r="I17" s="175" t="s">
        <v>199</v>
      </c>
      <c r="J17" s="176">
        <f t="shared" si="3"/>
        <v>0</v>
      </c>
      <c r="K17" s="176">
        <f t="shared" si="4"/>
        <v>0</v>
      </c>
      <c r="L17" s="177">
        <f t="shared" si="5"/>
        <v>0</v>
      </c>
    </row>
    <row r="18" spans="1:16" x14ac:dyDescent="0.35">
      <c r="A18" s="169">
        <v>4</v>
      </c>
      <c r="B18" s="175" t="s">
        <v>198</v>
      </c>
      <c r="C18" s="176">
        <f t="shared" si="0"/>
        <v>13</v>
      </c>
      <c r="D18" s="176">
        <f t="shared" si="1"/>
        <v>14.2</v>
      </c>
      <c r="E18" s="177">
        <f t="shared" si="2"/>
        <v>14.2</v>
      </c>
      <c r="H18" s="169">
        <v>9</v>
      </c>
      <c r="I18" s="175" t="s">
        <v>82</v>
      </c>
      <c r="J18" s="176">
        <f t="shared" si="3"/>
        <v>0</v>
      </c>
      <c r="K18" s="176">
        <f t="shared" si="4"/>
        <v>0</v>
      </c>
      <c r="L18" s="177">
        <f t="shared" si="5"/>
        <v>0</v>
      </c>
    </row>
    <row r="19" spans="1:16" x14ac:dyDescent="0.35">
      <c r="A19" s="169">
        <v>12</v>
      </c>
      <c r="B19" s="175" t="s">
        <v>84</v>
      </c>
      <c r="C19" s="176">
        <f t="shared" si="0"/>
        <v>9</v>
      </c>
      <c r="D19" s="176">
        <f t="shared" si="1"/>
        <v>15</v>
      </c>
      <c r="E19" s="177">
        <f t="shared" si="2"/>
        <v>15</v>
      </c>
      <c r="H19" s="169">
        <v>18</v>
      </c>
      <c r="I19" s="175" t="s">
        <v>87</v>
      </c>
      <c r="J19" s="176">
        <f t="shared" si="3"/>
        <v>0</v>
      </c>
      <c r="K19" s="176">
        <f t="shared" si="4"/>
        <v>0</v>
      </c>
      <c r="L19" s="177">
        <f t="shared" si="5"/>
        <v>0</v>
      </c>
    </row>
    <row r="20" spans="1:16" x14ac:dyDescent="0.35">
      <c r="A20" s="169">
        <v>10</v>
      </c>
      <c r="B20" s="175" t="s">
        <v>83</v>
      </c>
      <c r="C20" s="176">
        <f t="shared" si="0"/>
        <v>16</v>
      </c>
      <c r="D20" s="176">
        <f t="shared" si="1"/>
        <v>16</v>
      </c>
      <c r="E20" s="177">
        <f t="shared" si="2"/>
        <v>16</v>
      </c>
      <c r="H20" s="169">
        <v>13</v>
      </c>
      <c r="I20" s="175" t="s">
        <v>74</v>
      </c>
      <c r="J20" s="176">
        <f t="shared" si="3"/>
        <v>7</v>
      </c>
      <c r="K20" s="176">
        <f t="shared" si="4"/>
        <v>7</v>
      </c>
      <c r="L20" s="177">
        <f t="shared" si="5"/>
        <v>7</v>
      </c>
    </row>
    <row r="21" spans="1:16" x14ac:dyDescent="0.35">
      <c r="A21" s="169">
        <v>18</v>
      </c>
      <c r="B21" s="175" t="s">
        <v>87</v>
      </c>
      <c r="C21" s="176">
        <f t="shared" si="0"/>
        <v>8</v>
      </c>
      <c r="D21" s="176">
        <f t="shared" si="1"/>
        <v>17</v>
      </c>
      <c r="E21" s="177">
        <f t="shared" si="2"/>
        <v>17</v>
      </c>
      <c r="H21" s="169">
        <v>16</v>
      </c>
      <c r="I21" s="175" t="s">
        <v>75</v>
      </c>
      <c r="J21" s="176">
        <f t="shared" si="3"/>
        <v>8</v>
      </c>
      <c r="K21" s="176">
        <f t="shared" si="4"/>
        <v>12</v>
      </c>
      <c r="L21" s="177">
        <f t="shared" si="5"/>
        <v>12</v>
      </c>
      <c r="P21" s="39" t="s">
        <v>73</v>
      </c>
    </row>
    <row r="22" spans="1:16" x14ac:dyDescent="0.35">
      <c r="A22" s="169">
        <v>13</v>
      </c>
      <c r="B22" s="175" t="s">
        <v>74</v>
      </c>
      <c r="C22" s="176">
        <f t="shared" si="0"/>
        <v>11.5</v>
      </c>
      <c r="D22" s="176">
        <f t="shared" si="1"/>
        <v>19.7</v>
      </c>
      <c r="E22" s="177">
        <f t="shared" si="2"/>
        <v>19.7</v>
      </c>
      <c r="H22" s="169">
        <v>2</v>
      </c>
      <c r="I22" s="175" t="s">
        <v>196</v>
      </c>
      <c r="J22" s="176">
        <f t="shared" si="3"/>
        <v>18</v>
      </c>
      <c r="K22" s="176">
        <f t="shared" si="4"/>
        <v>0</v>
      </c>
      <c r="L22" s="177">
        <f t="shared" si="5"/>
        <v>18</v>
      </c>
    </row>
    <row r="23" spans="1:16" x14ac:dyDescent="0.35">
      <c r="A23" s="169">
        <v>5</v>
      </c>
      <c r="B23" s="175" t="s">
        <v>199</v>
      </c>
      <c r="C23" s="176">
        <f t="shared" si="0"/>
        <v>19.670000000000002</v>
      </c>
      <c r="D23" s="176">
        <f t="shared" si="1"/>
        <v>21.5</v>
      </c>
      <c r="E23" s="177">
        <f t="shared" si="2"/>
        <v>21.5</v>
      </c>
      <c r="H23" s="169">
        <v>14</v>
      </c>
      <c r="I23" s="175" t="s">
        <v>86</v>
      </c>
      <c r="J23" s="176">
        <f t="shared" si="3"/>
        <v>24</v>
      </c>
      <c r="K23" s="176">
        <f t="shared" si="4"/>
        <v>0</v>
      </c>
      <c r="L23" s="177">
        <f t="shared" si="5"/>
        <v>24</v>
      </c>
    </row>
    <row r="24" spans="1:16" x14ac:dyDescent="0.35">
      <c r="A24" s="169">
        <v>8</v>
      </c>
      <c r="B24" s="175" t="s">
        <v>200</v>
      </c>
      <c r="C24" s="176">
        <f t="shared" si="0"/>
        <v>22</v>
      </c>
      <c r="D24" s="176">
        <f t="shared" si="1"/>
        <v>19</v>
      </c>
      <c r="E24" s="177">
        <f t="shared" si="2"/>
        <v>22</v>
      </c>
      <c r="H24" s="169">
        <v>6</v>
      </c>
      <c r="I24" s="175" t="s">
        <v>202</v>
      </c>
      <c r="J24" s="176">
        <f t="shared" si="3"/>
        <v>0</v>
      </c>
      <c r="K24" s="176">
        <f t="shared" si="4"/>
        <v>26</v>
      </c>
      <c r="L24" s="177">
        <f t="shared" si="5"/>
        <v>26</v>
      </c>
    </row>
    <row r="25" spans="1:16" x14ac:dyDescent="0.35">
      <c r="A25" s="169">
        <v>11</v>
      </c>
      <c r="B25" s="175" t="s">
        <v>201</v>
      </c>
      <c r="C25" s="176">
        <f t="shared" si="0"/>
        <v>67</v>
      </c>
      <c r="D25" s="176">
        <f t="shared" si="1"/>
        <v>0</v>
      </c>
      <c r="E25" s="177">
        <f t="shared" si="2"/>
        <v>67</v>
      </c>
      <c r="H25" s="169">
        <v>17</v>
      </c>
      <c r="I25" s="175" t="s">
        <v>70</v>
      </c>
      <c r="J25" s="176">
        <f t="shared" si="3"/>
        <v>0</v>
      </c>
      <c r="K25" s="176">
        <f t="shared" si="4"/>
        <v>47</v>
      </c>
      <c r="L25" s="177">
        <f t="shared" si="5"/>
        <v>47</v>
      </c>
    </row>
    <row r="26" spans="1:16" x14ac:dyDescent="0.35">
      <c r="A26" s="169">
        <v>6</v>
      </c>
      <c r="B26" s="175" t="s">
        <v>202</v>
      </c>
      <c r="C26" s="176">
        <f t="shared" si="0"/>
        <v>80</v>
      </c>
      <c r="D26" s="176">
        <f t="shared" si="1"/>
        <v>32</v>
      </c>
      <c r="E26" s="177">
        <f t="shared" si="2"/>
        <v>80</v>
      </c>
      <c r="H26" s="169">
        <v>3</v>
      </c>
      <c r="I26" s="175" t="s">
        <v>197</v>
      </c>
      <c r="J26" s="176">
        <f t="shared" si="3"/>
        <v>0</v>
      </c>
      <c r="K26" s="176">
        <f t="shared" si="4"/>
        <v>60</v>
      </c>
      <c r="L26" s="177">
        <f t="shared" si="5"/>
        <v>60</v>
      </c>
    </row>
    <row r="27" spans="1:16" x14ac:dyDescent="0.35">
      <c r="A27" s="170">
        <v>7</v>
      </c>
      <c r="B27" s="178" t="s">
        <v>203</v>
      </c>
      <c r="C27" s="179">
        <f t="shared" si="0"/>
        <v>17</v>
      </c>
      <c r="D27" s="179">
        <f t="shared" si="1"/>
        <v>81</v>
      </c>
      <c r="E27" s="180">
        <f t="shared" si="2"/>
        <v>81</v>
      </c>
      <c r="H27" s="170">
        <v>8</v>
      </c>
      <c r="I27" s="178" t="s">
        <v>200</v>
      </c>
      <c r="J27" s="179">
        <f t="shared" si="3"/>
        <v>110</v>
      </c>
      <c r="K27" s="179">
        <f t="shared" si="4"/>
        <v>0</v>
      </c>
      <c r="L27" s="180">
        <f t="shared" si="5"/>
        <v>110</v>
      </c>
    </row>
    <row r="31" spans="1:16" s="126" customFormat="1" ht="18.5" x14ac:dyDescent="0.45">
      <c r="B31" s="126" t="s">
        <v>134</v>
      </c>
    </row>
    <row r="32" spans="1:16" s="127" customFormat="1" ht="43.5" customHeight="1" x14ac:dyDescent="0.5">
      <c r="B32" s="128" t="s">
        <v>229</v>
      </c>
    </row>
    <row r="33" spans="1:13" x14ac:dyDescent="0.35">
      <c r="B33" s="54"/>
      <c r="C33" s="311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15" customHeight="1" x14ac:dyDescent="0.35">
      <c r="A34" s="50"/>
      <c r="B34" s="158" t="s">
        <v>98</v>
      </c>
      <c r="C34" s="50"/>
      <c r="D34" s="50"/>
      <c r="E34" s="50"/>
      <c r="F34" s="158"/>
      <c r="G34" s="158"/>
      <c r="H34" s="54"/>
      <c r="I34" s="158" t="s">
        <v>96</v>
      </c>
      <c r="J34" s="160"/>
      <c r="K34" s="161"/>
      <c r="L34" s="161"/>
      <c r="M34" s="161"/>
    </row>
    <row r="35" spans="1:13" x14ac:dyDescent="0.35">
      <c r="A35" s="168"/>
      <c r="B35" s="164"/>
      <c r="C35" s="164" t="s">
        <v>119</v>
      </c>
      <c r="D35" s="164" t="s">
        <v>120</v>
      </c>
      <c r="E35" s="164" t="s">
        <v>40</v>
      </c>
      <c r="F35" s="165" t="s">
        <v>226</v>
      </c>
      <c r="G35" s="158"/>
      <c r="H35" s="162"/>
      <c r="I35" s="163"/>
      <c r="J35" s="164" t="s">
        <v>119</v>
      </c>
      <c r="K35" s="164" t="s">
        <v>120</v>
      </c>
      <c r="L35" s="164" t="s">
        <v>40</v>
      </c>
      <c r="M35" s="165" t="s">
        <v>226</v>
      </c>
    </row>
    <row r="36" spans="1:13" x14ac:dyDescent="0.35">
      <c r="A36" s="169">
        <v>1</v>
      </c>
      <c r="B36" s="175" t="s">
        <v>195</v>
      </c>
      <c r="C36" s="176" t="e">
        <f t="shared" ref="C36:C53" si="6">IF(INDEX(Q2_Paeds,4+$A36,10)="No data",NA(),INDEX(Q2_Paeds,4+$A36,10))</f>
        <v>#N/A</v>
      </c>
      <c r="D36" s="176" t="e">
        <f t="shared" ref="D36:D53" si="7">IF(INDEX(Q2_Paeds,4+$A36,11)="No data",NA(),INDEX(Q2_Paeds,4+$A36,11))</f>
        <v>#N/A</v>
      </c>
      <c r="E36" s="176" t="e">
        <f t="shared" ref="E36:E53" si="8">IF(INDEX(Q2_Paeds,4+$A36,12)="No data",NA(),INDEX(Q2_Paeds,4+$A36,12))</f>
        <v>#N/A</v>
      </c>
      <c r="F36" s="166" t="e">
        <f t="shared" ref="F36:F53" si="9">SUM(C36:E36)</f>
        <v>#N/A</v>
      </c>
      <c r="G36" s="159"/>
      <c r="H36" s="169">
        <v>4</v>
      </c>
      <c r="I36" s="175" t="s">
        <v>198</v>
      </c>
      <c r="J36" s="176" t="e">
        <f t="shared" ref="J36:J53" si="10">IF(INDEX(Q2_Adult,4+$H36,10)="No data",NA(),INDEX(Q2_Adult,4+$H36,10))</f>
        <v>#N/A</v>
      </c>
      <c r="K36" s="176" t="e">
        <f t="shared" ref="K36:K53" si="11">IF(INDEX(Q2_Adult,4+$H36,11)="No data",NA(),INDEX(Q2_Adult,4+$H36,11))</f>
        <v>#N/A</v>
      </c>
      <c r="L36" s="176" t="e">
        <f t="shared" ref="L36:L53" si="12">IF(INDEX(Q2_Adult,4+$H36,12)="No data",NA(),INDEX(Q2_Adult,4+$H36,12))</f>
        <v>#N/A</v>
      </c>
      <c r="M36" s="166" t="e">
        <f t="shared" ref="M36:M53" si="13">SUM(J36:L36)</f>
        <v>#N/A</v>
      </c>
    </row>
    <row r="37" spans="1:13" x14ac:dyDescent="0.35">
      <c r="A37" s="169">
        <v>3</v>
      </c>
      <c r="B37" s="175" t="s">
        <v>197</v>
      </c>
      <c r="C37" s="176" t="e">
        <f t="shared" si="6"/>
        <v>#N/A</v>
      </c>
      <c r="D37" s="176" t="e">
        <f t="shared" si="7"/>
        <v>#N/A</v>
      </c>
      <c r="E37" s="176" t="e">
        <f t="shared" si="8"/>
        <v>#N/A</v>
      </c>
      <c r="F37" s="166" t="e">
        <f t="shared" si="9"/>
        <v>#N/A</v>
      </c>
      <c r="G37" s="159"/>
      <c r="H37" s="169">
        <v>7</v>
      </c>
      <c r="I37" s="175" t="s">
        <v>203</v>
      </c>
      <c r="J37" s="176" t="e">
        <f t="shared" si="10"/>
        <v>#N/A</v>
      </c>
      <c r="K37" s="176" t="e">
        <f t="shared" si="11"/>
        <v>#N/A</v>
      </c>
      <c r="L37" s="176" t="e">
        <f t="shared" si="12"/>
        <v>#N/A</v>
      </c>
      <c r="M37" s="166" t="e">
        <f t="shared" si="13"/>
        <v>#N/A</v>
      </c>
    </row>
    <row r="38" spans="1:13" x14ac:dyDescent="0.35">
      <c r="A38" s="169">
        <v>9</v>
      </c>
      <c r="B38" s="175" t="s">
        <v>82</v>
      </c>
      <c r="C38" s="176" t="e">
        <f t="shared" si="6"/>
        <v>#N/A</v>
      </c>
      <c r="D38" s="176" t="e">
        <f t="shared" si="7"/>
        <v>#N/A</v>
      </c>
      <c r="E38" s="176" t="e">
        <f t="shared" si="8"/>
        <v>#N/A</v>
      </c>
      <c r="F38" s="166" t="e">
        <f t="shared" si="9"/>
        <v>#N/A</v>
      </c>
      <c r="G38" s="159"/>
      <c r="H38" s="169">
        <v>10</v>
      </c>
      <c r="I38" s="175" t="s">
        <v>83</v>
      </c>
      <c r="J38" s="176" t="e">
        <f t="shared" si="10"/>
        <v>#N/A</v>
      </c>
      <c r="K38" s="176" t="e">
        <f t="shared" si="11"/>
        <v>#N/A</v>
      </c>
      <c r="L38" s="176" t="e">
        <f t="shared" si="12"/>
        <v>#N/A</v>
      </c>
      <c r="M38" s="166" t="e">
        <f t="shared" si="13"/>
        <v>#N/A</v>
      </c>
    </row>
    <row r="39" spans="1:13" x14ac:dyDescent="0.35">
      <c r="A39" s="169">
        <v>14</v>
      </c>
      <c r="B39" s="175" t="s">
        <v>86</v>
      </c>
      <c r="C39" s="176" t="e">
        <f t="shared" si="6"/>
        <v>#N/A</v>
      </c>
      <c r="D39" s="176" t="e">
        <f t="shared" si="7"/>
        <v>#N/A</v>
      </c>
      <c r="E39" s="176" t="e">
        <f t="shared" si="8"/>
        <v>#N/A</v>
      </c>
      <c r="F39" s="166" t="e">
        <f t="shared" si="9"/>
        <v>#N/A</v>
      </c>
      <c r="G39" s="159"/>
      <c r="H39" s="169">
        <v>12</v>
      </c>
      <c r="I39" s="175" t="s">
        <v>84</v>
      </c>
      <c r="J39" s="176" t="e">
        <f t="shared" si="10"/>
        <v>#N/A</v>
      </c>
      <c r="K39" s="176" t="e">
        <f t="shared" si="11"/>
        <v>#N/A</v>
      </c>
      <c r="L39" s="176" t="e">
        <f t="shared" si="12"/>
        <v>#N/A</v>
      </c>
      <c r="M39" s="166" t="e">
        <f t="shared" si="13"/>
        <v>#N/A</v>
      </c>
    </row>
    <row r="40" spans="1:13" x14ac:dyDescent="0.35">
      <c r="A40" s="169">
        <v>16</v>
      </c>
      <c r="B40" s="175" t="s">
        <v>75</v>
      </c>
      <c r="C40" s="176" t="e">
        <f t="shared" si="6"/>
        <v>#N/A</v>
      </c>
      <c r="D40" s="176" t="e">
        <f t="shared" si="7"/>
        <v>#N/A</v>
      </c>
      <c r="E40" s="176" t="e">
        <f t="shared" si="8"/>
        <v>#N/A</v>
      </c>
      <c r="F40" s="166" t="e">
        <f t="shared" si="9"/>
        <v>#N/A</v>
      </c>
      <c r="G40" s="159"/>
      <c r="H40" s="169">
        <v>15</v>
      </c>
      <c r="I40" s="175" t="s">
        <v>60</v>
      </c>
      <c r="J40" s="176" t="e">
        <f t="shared" si="10"/>
        <v>#N/A</v>
      </c>
      <c r="K40" s="176" t="e">
        <f t="shared" si="11"/>
        <v>#N/A</v>
      </c>
      <c r="L40" s="176" t="e">
        <f t="shared" si="12"/>
        <v>#N/A</v>
      </c>
      <c r="M40" s="166" t="e">
        <f t="shared" si="13"/>
        <v>#N/A</v>
      </c>
    </row>
    <row r="41" spans="1:13" x14ac:dyDescent="0.35">
      <c r="A41" s="169">
        <v>15</v>
      </c>
      <c r="B41" s="175" t="s">
        <v>60</v>
      </c>
      <c r="C41" s="176">
        <f t="shared" si="6"/>
        <v>0</v>
      </c>
      <c r="D41" s="176">
        <f t="shared" si="7"/>
        <v>0</v>
      </c>
      <c r="E41" s="176">
        <f t="shared" si="8"/>
        <v>0</v>
      </c>
      <c r="F41" s="166">
        <f t="shared" si="9"/>
        <v>0</v>
      </c>
      <c r="G41" s="159"/>
      <c r="H41" s="169">
        <v>3</v>
      </c>
      <c r="I41" s="175" t="s">
        <v>197</v>
      </c>
      <c r="J41" s="176">
        <f t="shared" si="10"/>
        <v>0</v>
      </c>
      <c r="K41" s="176">
        <f t="shared" si="11"/>
        <v>0</v>
      </c>
      <c r="L41" s="176">
        <f t="shared" si="12"/>
        <v>0</v>
      </c>
      <c r="M41" s="166">
        <f t="shared" si="13"/>
        <v>0</v>
      </c>
    </row>
    <row r="42" spans="1:13" x14ac:dyDescent="0.35">
      <c r="A42" s="169">
        <v>18</v>
      </c>
      <c r="B42" s="175" t="s">
        <v>87</v>
      </c>
      <c r="C42" s="176">
        <f t="shared" si="6"/>
        <v>0</v>
      </c>
      <c r="D42" s="176">
        <f t="shared" si="7"/>
        <v>0</v>
      </c>
      <c r="E42" s="176">
        <f t="shared" si="8"/>
        <v>0</v>
      </c>
      <c r="F42" s="166">
        <f t="shared" si="9"/>
        <v>0</v>
      </c>
      <c r="G42" s="159"/>
      <c r="H42" s="169">
        <v>5</v>
      </c>
      <c r="I42" s="175" t="s">
        <v>199</v>
      </c>
      <c r="J42" s="176">
        <f t="shared" si="10"/>
        <v>0</v>
      </c>
      <c r="K42" s="176">
        <f t="shared" si="11"/>
        <v>0</v>
      </c>
      <c r="L42" s="176">
        <f t="shared" si="12"/>
        <v>0</v>
      </c>
      <c r="M42" s="166">
        <f t="shared" si="13"/>
        <v>0</v>
      </c>
    </row>
    <row r="43" spans="1:13" x14ac:dyDescent="0.35">
      <c r="A43" s="169">
        <v>10</v>
      </c>
      <c r="B43" s="175" t="s">
        <v>83</v>
      </c>
      <c r="C43" s="176">
        <f t="shared" si="6"/>
        <v>2</v>
      </c>
      <c r="D43" s="176">
        <f t="shared" si="7"/>
        <v>0</v>
      </c>
      <c r="E43" s="176">
        <f t="shared" si="8"/>
        <v>0</v>
      </c>
      <c r="F43" s="166">
        <f t="shared" si="9"/>
        <v>2</v>
      </c>
      <c r="G43" s="159"/>
      <c r="H43" s="169">
        <v>6</v>
      </c>
      <c r="I43" s="175" t="s">
        <v>202</v>
      </c>
      <c r="J43" s="176">
        <f t="shared" si="10"/>
        <v>0</v>
      </c>
      <c r="K43" s="176">
        <f t="shared" si="11"/>
        <v>0</v>
      </c>
      <c r="L43" s="176">
        <f t="shared" si="12"/>
        <v>0</v>
      </c>
      <c r="M43" s="166">
        <f t="shared" si="13"/>
        <v>0</v>
      </c>
    </row>
    <row r="44" spans="1:13" x14ac:dyDescent="0.35">
      <c r="A44" s="169">
        <v>8</v>
      </c>
      <c r="B44" s="175" t="s">
        <v>200</v>
      </c>
      <c r="C44" s="176">
        <f t="shared" si="6"/>
        <v>2</v>
      </c>
      <c r="D44" s="176">
        <f t="shared" si="7"/>
        <v>0</v>
      </c>
      <c r="E44" s="176">
        <f t="shared" si="8"/>
        <v>0</v>
      </c>
      <c r="F44" s="166">
        <f t="shared" si="9"/>
        <v>2</v>
      </c>
      <c r="G44" s="159"/>
      <c r="H44" s="169">
        <v>18</v>
      </c>
      <c r="I44" s="175" t="s">
        <v>87</v>
      </c>
      <c r="J44" s="176">
        <f t="shared" si="10"/>
        <v>0</v>
      </c>
      <c r="K44" s="176">
        <f t="shared" si="11"/>
        <v>0</v>
      </c>
      <c r="L44" s="176">
        <f t="shared" si="12"/>
        <v>0</v>
      </c>
      <c r="M44" s="166">
        <f t="shared" si="13"/>
        <v>0</v>
      </c>
    </row>
    <row r="45" spans="1:13" x14ac:dyDescent="0.35">
      <c r="A45" s="169">
        <v>7</v>
      </c>
      <c r="B45" s="175" t="s">
        <v>203</v>
      </c>
      <c r="C45" s="176">
        <f t="shared" si="6"/>
        <v>3</v>
      </c>
      <c r="D45" s="176">
        <f t="shared" si="7"/>
        <v>0</v>
      </c>
      <c r="E45" s="176">
        <f t="shared" si="8"/>
        <v>0</v>
      </c>
      <c r="F45" s="166">
        <f t="shared" si="9"/>
        <v>3</v>
      </c>
      <c r="G45" s="159"/>
      <c r="H45" s="169">
        <v>16</v>
      </c>
      <c r="I45" s="175" t="s">
        <v>75</v>
      </c>
      <c r="J45" s="176">
        <f t="shared" si="10"/>
        <v>13</v>
      </c>
      <c r="K45" s="176">
        <f t="shared" si="11"/>
        <v>0</v>
      </c>
      <c r="L45" s="176">
        <f t="shared" si="12"/>
        <v>0</v>
      </c>
      <c r="M45" s="166">
        <f t="shared" si="13"/>
        <v>13</v>
      </c>
    </row>
    <row r="46" spans="1:13" x14ac:dyDescent="0.35">
      <c r="A46" s="169">
        <v>6</v>
      </c>
      <c r="B46" s="175" t="s">
        <v>202</v>
      </c>
      <c r="C46" s="176">
        <f t="shared" si="6"/>
        <v>2</v>
      </c>
      <c r="D46" s="176">
        <f t="shared" si="7"/>
        <v>1</v>
      </c>
      <c r="E46" s="176">
        <f t="shared" si="8"/>
        <v>0</v>
      </c>
      <c r="F46" s="166">
        <f t="shared" si="9"/>
        <v>3</v>
      </c>
      <c r="G46" s="159"/>
      <c r="H46" s="169">
        <v>17</v>
      </c>
      <c r="I46" s="175" t="s">
        <v>70</v>
      </c>
      <c r="J46" s="176">
        <f t="shared" si="10"/>
        <v>18</v>
      </c>
      <c r="K46" s="176">
        <f t="shared" si="11"/>
        <v>10</v>
      </c>
      <c r="L46" s="176">
        <f t="shared" si="12"/>
        <v>0</v>
      </c>
      <c r="M46" s="166">
        <f t="shared" si="13"/>
        <v>28</v>
      </c>
    </row>
    <row r="47" spans="1:13" x14ac:dyDescent="0.35">
      <c r="A47" s="169">
        <v>4</v>
      </c>
      <c r="B47" s="175" t="s">
        <v>198</v>
      </c>
      <c r="C47" s="176">
        <f t="shared" si="6"/>
        <v>4</v>
      </c>
      <c r="D47" s="176">
        <f t="shared" si="7"/>
        <v>4</v>
      </c>
      <c r="E47" s="176">
        <f t="shared" si="8"/>
        <v>0</v>
      </c>
      <c r="F47" s="166">
        <f t="shared" si="9"/>
        <v>8</v>
      </c>
      <c r="G47" s="159"/>
      <c r="H47" s="169">
        <v>9</v>
      </c>
      <c r="I47" s="175" t="s">
        <v>82</v>
      </c>
      <c r="J47" s="176">
        <f t="shared" si="10"/>
        <v>30</v>
      </c>
      <c r="K47" s="176">
        <f t="shared" si="11"/>
        <v>22</v>
      </c>
      <c r="L47" s="176">
        <f t="shared" si="12"/>
        <v>3</v>
      </c>
      <c r="M47" s="166">
        <f t="shared" si="13"/>
        <v>55</v>
      </c>
    </row>
    <row r="48" spans="1:13" x14ac:dyDescent="0.35">
      <c r="A48" s="169">
        <v>5</v>
      </c>
      <c r="B48" s="175" t="s">
        <v>199</v>
      </c>
      <c r="C48" s="176">
        <f t="shared" si="6"/>
        <v>13</v>
      </c>
      <c r="D48" s="176">
        <f t="shared" si="7"/>
        <v>6</v>
      </c>
      <c r="E48" s="176">
        <f t="shared" si="8"/>
        <v>5</v>
      </c>
      <c r="F48" s="166">
        <f t="shared" si="9"/>
        <v>24</v>
      </c>
      <c r="G48" s="159"/>
      <c r="H48" s="169">
        <v>13</v>
      </c>
      <c r="I48" s="175" t="s">
        <v>74</v>
      </c>
      <c r="J48" s="176">
        <f t="shared" si="10"/>
        <v>1</v>
      </c>
      <c r="K48" s="176">
        <f t="shared" si="11"/>
        <v>62</v>
      </c>
      <c r="L48" s="176">
        <f t="shared" si="12"/>
        <v>0</v>
      </c>
      <c r="M48" s="166">
        <f t="shared" si="13"/>
        <v>63</v>
      </c>
    </row>
    <row r="49" spans="1:13" x14ac:dyDescent="0.35">
      <c r="A49" s="169">
        <v>17</v>
      </c>
      <c r="B49" s="175" t="s">
        <v>70</v>
      </c>
      <c r="C49" s="176">
        <f t="shared" si="6"/>
        <v>28</v>
      </c>
      <c r="D49" s="176">
        <f t="shared" si="7"/>
        <v>0</v>
      </c>
      <c r="E49" s="176">
        <f t="shared" si="8"/>
        <v>1</v>
      </c>
      <c r="F49" s="166">
        <f t="shared" si="9"/>
        <v>29</v>
      </c>
      <c r="G49" s="159"/>
      <c r="H49" s="169">
        <v>2</v>
      </c>
      <c r="I49" s="175" t="s">
        <v>196</v>
      </c>
      <c r="J49" s="176">
        <f t="shared" si="10"/>
        <v>19</v>
      </c>
      <c r="K49" s="176">
        <f t="shared" si="11"/>
        <v>62</v>
      </c>
      <c r="L49" s="176">
        <f t="shared" si="12"/>
        <v>20</v>
      </c>
      <c r="M49" s="166">
        <f t="shared" si="13"/>
        <v>101</v>
      </c>
    </row>
    <row r="50" spans="1:13" x14ac:dyDescent="0.35">
      <c r="A50" s="169">
        <v>12</v>
      </c>
      <c r="B50" s="175" t="s">
        <v>84</v>
      </c>
      <c r="C50" s="176">
        <f t="shared" si="6"/>
        <v>27</v>
      </c>
      <c r="D50" s="176">
        <f t="shared" si="7"/>
        <v>61</v>
      </c>
      <c r="E50" s="176">
        <f t="shared" si="8"/>
        <v>43</v>
      </c>
      <c r="F50" s="166">
        <f t="shared" si="9"/>
        <v>131</v>
      </c>
      <c r="G50" s="159"/>
      <c r="H50" s="169">
        <v>8</v>
      </c>
      <c r="I50" s="175" t="s">
        <v>200</v>
      </c>
      <c r="J50" s="176">
        <f t="shared" si="10"/>
        <v>0</v>
      </c>
      <c r="K50" s="176">
        <f t="shared" si="11"/>
        <v>0</v>
      </c>
      <c r="L50" s="176">
        <f t="shared" si="12"/>
        <v>124</v>
      </c>
      <c r="M50" s="166">
        <f t="shared" si="13"/>
        <v>124</v>
      </c>
    </row>
    <row r="51" spans="1:13" x14ac:dyDescent="0.35">
      <c r="A51" s="169">
        <v>13</v>
      </c>
      <c r="B51" s="175" t="s">
        <v>74</v>
      </c>
      <c r="C51" s="176">
        <f t="shared" si="6"/>
        <v>55</v>
      </c>
      <c r="D51" s="176">
        <f t="shared" si="7"/>
        <v>107</v>
      </c>
      <c r="E51" s="176">
        <f t="shared" si="8"/>
        <v>137</v>
      </c>
      <c r="F51" s="166">
        <f t="shared" si="9"/>
        <v>299</v>
      </c>
      <c r="G51" s="159"/>
      <c r="H51" s="169">
        <v>1</v>
      </c>
      <c r="I51" s="175" t="s">
        <v>195</v>
      </c>
      <c r="J51" s="176">
        <f t="shared" si="10"/>
        <v>35</v>
      </c>
      <c r="K51" s="176">
        <f t="shared" si="11"/>
        <v>55</v>
      </c>
      <c r="L51" s="176">
        <f t="shared" si="12"/>
        <v>67</v>
      </c>
      <c r="M51" s="166">
        <f t="shared" si="13"/>
        <v>157</v>
      </c>
    </row>
    <row r="52" spans="1:13" x14ac:dyDescent="0.35">
      <c r="A52" s="169">
        <v>2</v>
      </c>
      <c r="B52" s="175" t="s">
        <v>196</v>
      </c>
      <c r="C52" s="176">
        <f t="shared" si="6"/>
        <v>196</v>
      </c>
      <c r="D52" s="176">
        <f t="shared" si="7"/>
        <v>125</v>
      </c>
      <c r="E52" s="176">
        <f t="shared" si="8"/>
        <v>291</v>
      </c>
      <c r="F52" s="166">
        <f t="shared" si="9"/>
        <v>612</v>
      </c>
      <c r="G52" s="159"/>
      <c r="H52" s="169">
        <v>11</v>
      </c>
      <c r="I52" s="175" t="s">
        <v>201</v>
      </c>
      <c r="J52" s="176">
        <f t="shared" si="10"/>
        <v>246</v>
      </c>
      <c r="K52" s="176">
        <f t="shared" si="11"/>
        <v>298</v>
      </c>
      <c r="L52" s="176">
        <f t="shared" si="12"/>
        <v>3</v>
      </c>
      <c r="M52" s="166">
        <f t="shared" si="13"/>
        <v>547</v>
      </c>
    </row>
    <row r="53" spans="1:13" x14ac:dyDescent="0.35">
      <c r="A53" s="170">
        <v>11</v>
      </c>
      <c r="B53" s="178" t="s">
        <v>201</v>
      </c>
      <c r="C53" s="179">
        <f t="shared" si="6"/>
        <v>186</v>
      </c>
      <c r="D53" s="179">
        <f t="shared" si="7"/>
        <v>412</v>
      </c>
      <c r="E53" s="179">
        <f t="shared" si="8"/>
        <v>132</v>
      </c>
      <c r="F53" s="167">
        <f t="shared" si="9"/>
        <v>730</v>
      </c>
      <c r="G53" s="159"/>
      <c r="H53" s="170">
        <v>14</v>
      </c>
      <c r="I53" s="178" t="s">
        <v>86</v>
      </c>
      <c r="J53" s="179">
        <f t="shared" si="10"/>
        <v>191</v>
      </c>
      <c r="K53" s="179">
        <f t="shared" si="11"/>
        <v>76</v>
      </c>
      <c r="L53" s="179">
        <f t="shared" si="12"/>
        <v>282</v>
      </c>
      <c r="M53" s="167">
        <f t="shared" si="13"/>
        <v>549</v>
      </c>
    </row>
    <row r="54" spans="1:13" x14ac:dyDescent="0.35">
      <c r="A54" s="159"/>
    </row>
    <row r="55" spans="1:13" s="50" customFormat="1" x14ac:dyDescent="0.35">
      <c r="B55" s="92"/>
      <c r="C55" s="68"/>
      <c r="D55" s="68"/>
      <c r="E55" s="93"/>
      <c r="F55" s="68"/>
    </row>
    <row r="56" spans="1:13" x14ac:dyDescent="0.35">
      <c r="B56" s="275" t="s">
        <v>99</v>
      </c>
      <c r="H56" s="158" t="s">
        <v>97</v>
      </c>
      <c r="I56" s="311"/>
      <c r="J56" s="54"/>
      <c r="K56" s="54"/>
      <c r="L56" s="54"/>
    </row>
    <row r="57" spans="1:13" x14ac:dyDescent="0.35">
      <c r="A57" s="168"/>
      <c r="B57" s="276"/>
      <c r="C57" s="164" t="s">
        <v>119</v>
      </c>
      <c r="D57" s="164" t="s">
        <v>120</v>
      </c>
      <c r="E57" s="164" t="s">
        <v>40</v>
      </c>
      <c r="F57" s="165" t="s">
        <v>226</v>
      </c>
      <c r="G57" s="182"/>
      <c r="H57" s="162"/>
      <c r="I57" s="163"/>
      <c r="J57" s="164" t="s">
        <v>119</v>
      </c>
      <c r="K57" s="164" t="s">
        <v>120</v>
      </c>
      <c r="L57" s="164" t="s">
        <v>40</v>
      </c>
      <c r="M57" s="165" t="s">
        <v>226</v>
      </c>
    </row>
    <row r="58" spans="1:13" x14ac:dyDescent="0.35">
      <c r="A58" s="169">
        <v>1</v>
      </c>
      <c r="B58" s="175" t="s">
        <v>195</v>
      </c>
      <c r="C58" s="171" t="e">
        <f t="shared" ref="C58:C75" si="14">IF(INDEX(Q2_Paeds,4+$A58,16)="No data",NA(),INDEX(Q2_Paeds,4+$A58,16))</f>
        <v>#N/A</v>
      </c>
      <c r="D58" s="171" t="e">
        <f t="shared" ref="D58:D75" si="15">IF(INDEX(Q2_Paeds,4+$A58,17)="No data",NA(),INDEX(Q2_Paeds,4+$A58,17))</f>
        <v>#N/A</v>
      </c>
      <c r="E58" s="171" t="e">
        <f t="shared" ref="E58:E75" si="16">IF(INDEX(Q2_Paeds,4+$A58,18)="No data",NA(),INDEX(Q2_Paeds,4+$A58,18))</f>
        <v>#N/A</v>
      </c>
      <c r="F58" s="166" t="e">
        <f t="shared" ref="F58:F75" si="17">SUM(C58:E58)</f>
        <v>#N/A</v>
      </c>
      <c r="G58" s="183"/>
      <c r="H58" s="169">
        <v>4</v>
      </c>
      <c r="I58" s="175" t="s">
        <v>198</v>
      </c>
      <c r="J58" s="176" t="e">
        <f t="shared" ref="J58:J75" si="18">IF(INDEX(Q2_Adult,4+$H58,16)="No data",NA(),INDEX(Q2_Adult,4+$H58,16))</f>
        <v>#N/A</v>
      </c>
      <c r="K58" s="176" t="e">
        <f t="shared" ref="K58:K75" si="19">IF(INDEX(Q2_Adult,4+$H58,17)="No data",NA(),INDEX(Q2_Adult,4+$H58,17))</f>
        <v>#N/A</v>
      </c>
      <c r="L58" s="176" t="e">
        <f t="shared" ref="L58:L75" si="20">IF(INDEX(Q2_Adult,4+$H58,18)="No data",NA(),INDEX(Q2_Adult,4+$H58,18))</f>
        <v>#N/A</v>
      </c>
      <c r="M58" s="166" t="e">
        <f t="shared" ref="M58:M75" si="21">SUM(J58:L58)</f>
        <v>#N/A</v>
      </c>
    </row>
    <row r="59" spans="1:13" x14ac:dyDescent="0.35">
      <c r="A59" s="169">
        <v>3</v>
      </c>
      <c r="B59" s="175" t="s">
        <v>197</v>
      </c>
      <c r="C59" s="171" t="e">
        <f t="shared" si="14"/>
        <v>#N/A</v>
      </c>
      <c r="D59" s="171" t="e">
        <f t="shared" si="15"/>
        <v>#N/A</v>
      </c>
      <c r="E59" s="171" t="e">
        <f t="shared" si="16"/>
        <v>#N/A</v>
      </c>
      <c r="F59" s="166" t="e">
        <f t="shared" si="17"/>
        <v>#N/A</v>
      </c>
      <c r="G59" s="183"/>
      <c r="H59" s="169">
        <v>7</v>
      </c>
      <c r="I59" s="175" t="s">
        <v>203</v>
      </c>
      <c r="J59" s="176" t="e">
        <f t="shared" si="18"/>
        <v>#N/A</v>
      </c>
      <c r="K59" s="176" t="e">
        <f t="shared" si="19"/>
        <v>#N/A</v>
      </c>
      <c r="L59" s="176" t="e">
        <f t="shared" si="20"/>
        <v>#N/A</v>
      </c>
      <c r="M59" s="166" t="e">
        <f t="shared" si="21"/>
        <v>#N/A</v>
      </c>
    </row>
    <row r="60" spans="1:13" x14ac:dyDescent="0.35">
      <c r="A60" s="169">
        <v>9</v>
      </c>
      <c r="B60" s="175" t="s">
        <v>82</v>
      </c>
      <c r="C60" s="171" t="e">
        <f t="shared" si="14"/>
        <v>#N/A</v>
      </c>
      <c r="D60" s="171" t="e">
        <f t="shared" si="15"/>
        <v>#N/A</v>
      </c>
      <c r="E60" s="171" t="e">
        <f t="shared" si="16"/>
        <v>#N/A</v>
      </c>
      <c r="F60" s="166" t="e">
        <f t="shared" si="17"/>
        <v>#N/A</v>
      </c>
      <c r="G60" s="183"/>
      <c r="H60" s="169">
        <v>10</v>
      </c>
      <c r="I60" s="175" t="s">
        <v>83</v>
      </c>
      <c r="J60" s="176" t="e">
        <f t="shared" si="18"/>
        <v>#N/A</v>
      </c>
      <c r="K60" s="176" t="e">
        <f t="shared" si="19"/>
        <v>#N/A</v>
      </c>
      <c r="L60" s="176" t="e">
        <f t="shared" si="20"/>
        <v>#N/A</v>
      </c>
      <c r="M60" s="166" t="e">
        <f t="shared" si="21"/>
        <v>#N/A</v>
      </c>
    </row>
    <row r="61" spans="1:13" x14ac:dyDescent="0.35">
      <c r="A61" s="169">
        <v>14</v>
      </c>
      <c r="B61" s="175" t="s">
        <v>86</v>
      </c>
      <c r="C61" s="171" t="e">
        <f t="shared" si="14"/>
        <v>#N/A</v>
      </c>
      <c r="D61" s="171" t="e">
        <f t="shared" si="15"/>
        <v>#N/A</v>
      </c>
      <c r="E61" s="171" t="e">
        <f t="shared" si="16"/>
        <v>#N/A</v>
      </c>
      <c r="F61" s="166" t="e">
        <f t="shared" si="17"/>
        <v>#N/A</v>
      </c>
      <c r="G61" s="183"/>
      <c r="H61" s="169">
        <v>12</v>
      </c>
      <c r="I61" s="175" t="s">
        <v>84</v>
      </c>
      <c r="J61" s="176" t="e">
        <f t="shared" si="18"/>
        <v>#N/A</v>
      </c>
      <c r="K61" s="176" t="e">
        <f t="shared" si="19"/>
        <v>#N/A</v>
      </c>
      <c r="L61" s="176" t="e">
        <f t="shared" si="20"/>
        <v>#N/A</v>
      </c>
      <c r="M61" s="166" t="e">
        <f t="shared" si="21"/>
        <v>#N/A</v>
      </c>
    </row>
    <row r="62" spans="1:13" x14ac:dyDescent="0.35">
      <c r="A62" s="169">
        <v>16</v>
      </c>
      <c r="B62" s="175" t="s">
        <v>75</v>
      </c>
      <c r="C62" s="171" t="e">
        <f t="shared" si="14"/>
        <v>#N/A</v>
      </c>
      <c r="D62" s="171" t="e">
        <f t="shared" si="15"/>
        <v>#N/A</v>
      </c>
      <c r="E62" s="171" t="e">
        <f t="shared" si="16"/>
        <v>#N/A</v>
      </c>
      <c r="F62" s="166" t="e">
        <f t="shared" si="17"/>
        <v>#N/A</v>
      </c>
      <c r="G62" s="183"/>
      <c r="H62" s="169">
        <v>15</v>
      </c>
      <c r="I62" s="175" t="s">
        <v>60</v>
      </c>
      <c r="J62" s="176" t="e">
        <f t="shared" si="18"/>
        <v>#N/A</v>
      </c>
      <c r="K62" s="176" t="e">
        <f t="shared" si="19"/>
        <v>#N/A</v>
      </c>
      <c r="L62" s="176" t="e">
        <f t="shared" si="20"/>
        <v>#N/A</v>
      </c>
      <c r="M62" s="166" t="e">
        <f t="shared" si="21"/>
        <v>#N/A</v>
      </c>
    </row>
    <row r="63" spans="1:13" x14ac:dyDescent="0.35">
      <c r="A63" s="169">
        <v>10</v>
      </c>
      <c r="B63" s="175" t="s">
        <v>83</v>
      </c>
      <c r="C63" s="171">
        <f t="shared" si="14"/>
        <v>0</v>
      </c>
      <c r="D63" s="171">
        <f t="shared" si="15"/>
        <v>0</v>
      </c>
      <c r="E63" s="171">
        <f t="shared" si="16"/>
        <v>0</v>
      </c>
      <c r="F63" s="166">
        <f t="shared" si="17"/>
        <v>0</v>
      </c>
      <c r="G63" s="183"/>
      <c r="H63" s="169">
        <v>11</v>
      </c>
      <c r="I63" s="175" t="s">
        <v>201</v>
      </c>
      <c r="J63" s="176" t="e">
        <f t="shared" si="18"/>
        <v>#N/A</v>
      </c>
      <c r="K63" s="176" t="e">
        <f t="shared" si="19"/>
        <v>#N/A</v>
      </c>
      <c r="L63" s="176" t="e">
        <f t="shared" si="20"/>
        <v>#N/A</v>
      </c>
      <c r="M63" s="166" t="e">
        <f t="shared" si="21"/>
        <v>#N/A</v>
      </c>
    </row>
    <row r="64" spans="1:13" x14ac:dyDescent="0.35">
      <c r="A64" s="169">
        <v>2</v>
      </c>
      <c r="B64" s="175" t="s">
        <v>196</v>
      </c>
      <c r="C64" s="171">
        <f t="shared" si="14"/>
        <v>0</v>
      </c>
      <c r="D64" s="171">
        <f t="shared" si="15"/>
        <v>0</v>
      </c>
      <c r="E64" s="171">
        <f t="shared" si="16"/>
        <v>0</v>
      </c>
      <c r="F64" s="166">
        <f t="shared" si="17"/>
        <v>0</v>
      </c>
      <c r="G64" s="183"/>
      <c r="H64" s="169">
        <v>1</v>
      </c>
      <c r="I64" s="175" t="s">
        <v>195</v>
      </c>
      <c r="J64" s="176">
        <f t="shared" si="18"/>
        <v>0</v>
      </c>
      <c r="K64" s="176">
        <f t="shared" si="19"/>
        <v>0</v>
      </c>
      <c r="L64" s="176">
        <f t="shared" si="20"/>
        <v>0</v>
      </c>
      <c r="M64" s="166">
        <f t="shared" si="21"/>
        <v>0</v>
      </c>
    </row>
    <row r="65" spans="1:15" x14ac:dyDescent="0.35">
      <c r="A65" s="169">
        <v>11</v>
      </c>
      <c r="B65" s="175" t="s">
        <v>201</v>
      </c>
      <c r="C65" s="171">
        <f t="shared" si="14"/>
        <v>0</v>
      </c>
      <c r="D65" s="171">
        <f t="shared" si="15"/>
        <v>0</v>
      </c>
      <c r="E65" s="171">
        <f t="shared" si="16"/>
        <v>0</v>
      </c>
      <c r="F65" s="166">
        <f t="shared" si="17"/>
        <v>0</v>
      </c>
      <c r="G65" s="183"/>
      <c r="H65" s="169">
        <v>2</v>
      </c>
      <c r="I65" s="175" t="s">
        <v>196</v>
      </c>
      <c r="J65" s="176">
        <f t="shared" si="18"/>
        <v>0</v>
      </c>
      <c r="K65" s="176">
        <f t="shared" si="19"/>
        <v>0</v>
      </c>
      <c r="L65" s="176">
        <f t="shared" si="20"/>
        <v>0</v>
      </c>
      <c r="M65" s="166">
        <f t="shared" si="21"/>
        <v>0</v>
      </c>
    </row>
    <row r="66" spans="1:15" x14ac:dyDescent="0.35">
      <c r="A66" s="169">
        <v>8</v>
      </c>
      <c r="B66" s="175" t="s">
        <v>200</v>
      </c>
      <c r="C66" s="171">
        <f t="shared" si="14"/>
        <v>6</v>
      </c>
      <c r="D66" s="171">
        <f t="shared" si="15"/>
        <v>1</v>
      </c>
      <c r="E66" s="171">
        <f t="shared" si="16"/>
        <v>0</v>
      </c>
      <c r="F66" s="166">
        <f t="shared" si="17"/>
        <v>7</v>
      </c>
      <c r="G66" s="183"/>
      <c r="H66" s="169">
        <v>5</v>
      </c>
      <c r="I66" s="175" t="s">
        <v>199</v>
      </c>
      <c r="J66" s="176">
        <f t="shared" si="18"/>
        <v>0</v>
      </c>
      <c r="K66" s="176">
        <f t="shared" si="19"/>
        <v>0</v>
      </c>
      <c r="L66" s="176">
        <f t="shared" si="20"/>
        <v>0</v>
      </c>
      <c r="M66" s="166">
        <f t="shared" si="21"/>
        <v>0</v>
      </c>
    </row>
    <row r="67" spans="1:15" x14ac:dyDescent="0.35">
      <c r="A67" s="169">
        <v>18</v>
      </c>
      <c r="B67" s="175" t="s">
        <v>87</v>
      </c>
      <c r="C67" s="171">
        <f t="shared" si="14"/>
        <v>7</v>
      </c>
      <c r="D67" s="171">
        <f t="shared" si="15"/>
        <v>0</v>
      </c>
      <c r="E67" s="171">
        <f t="shared" si="16"/>
        <v>0</v>
      </c>
      <c r="F67" s="166">
        <f t="shared" si="17"/>
        <v>7</v>
      </c>
      <c r="G67" s="183"/>
      <c r="H67" s="169">
        <v>8</v>
      </c>
      <c r="I67" s="175" t="s">
        <v>200</v>
      </c>
      <c r="J67" s="176">
        <f t="shared" si="18"/>
        <v>0</v>
      </c>
      <c r="K67" s="176">
        <f t="shared" si="19"/>
        <v>0</v>
      </c>
      <c r="L67" s="176">
        <f t="shared" si="20"/>
        <v>0</v>
      </c>
      <c r="M67" s="166">
        <f t="shared" si="21"/>
        <v>0</v>
      </c>
    </row>
    <row r="68" spans="1:15" x14ac:dyDescent="0.35">
      <c r="A68" s="169">
        <v>7</v>
      </c>
      <c r="B68" s="175" t="s">
        <v>203</v>
      </c>
      <c r="C68" s="171">
        <f t="shared" si="14"/>
        <v>12</v>
      </c>
      <c r="D68" s="171">
        <f t="shared" si="15"/>
        <v>1</v>
      </c>
      <c r="E68" s="171">
        <f t="shared" si="16"/>
        <v>0</v>
      </c>
      <c r="F68" s="166">
        <f t="shared" si="17"/>
        <v>13</v>
      </c>
      <c r="G68" s="183"/>
      <c r="H68" s="169">
        <v>14</v>
      </c>
      <c r="I68" s="175" t="s">
        <v>86</v>
      </c>
      <c r="J68" s="176">
        <f t="shared" si="18"/>
        <v>0</v>
      </c>
      <c r="K68" s="176">
        <f t="shared" si="19"/>
        <v>0</v>
      </c>
      <c r="L68" s="176">
        <f t="shared" si="20"/>
        <v>0</v>
      </c>
      <c r="M68" s="166">
        <f t="shared" si="21"/>
        <v>0</v>
      </c>
    </row>
    <row r="69" spans="1:15" x14ac:dyDescent="0.35">
      <c r="A69" s="169">
        <v>4</v>
      </c>
      <c r="B69" s="175" t="s">
        <v>198</v>
      </c>
      <c r="C69" s="171">
        <f t="shared" si="14"/>
        <v>6</v>
      </c>
      <c r="D69" s="171">
        <f t="shared" si="15"/>
        <v>5</v>
      </c>
      <c r="E69" s="171">
        <f t="shared" si="16"/>
        <v>4</v>
      </c>
      <c r="F69" s="166">
        <f t="shared" si="17"/>
        <v>15</v>
      </c>
      <c r="G69" s="183"/>
      <c r="H69" s="169">
        <v>18</v>
      </c>
      <c r="I69" s="175" t="s">
        <v>87</v>
      </c>
      <c r="J69" s="176">
        <f t="shared" si="18"/>
        <v>0</v>
      </c>
      <c r="K69" s="176">
        <f t="shared" si="19"/>
        <v>0</v>
      </c>
      <c r="L69" s="176">
        <f t="shared" si="20"/>
        <v>0</v>
      </c>
      <c r="M69" s="166">
        <f t="shared" si="21"/>
        <v>0</v>
      </c>
    </row>
    <row r="70" spans="1:15" x14ac:dyDescent="0.35">
      <c r="A70" s="169">
        <v>6</v>
      </c>
      <c r="B70" s="175" t="s">
        <v>202</v>
      </c>
      <c r="C70" s="171">
        <f t="shared" si="14"/>
        <v>4</v>
      </c>
      <c r="D70" s="171">
        <f t="shared" si="15"/>
        <v>17</v>
      </c>
      <c r="E70" s="171">
        <f t="shared" si="16"/>
        <v>0</v>
      </c>
      <c r="F70" s="166">
        <f t="shared" si="17"/>
        <v>21</v>
      </c>
      <c r="G70" s="183"/>
      <c r="H70" s="169">
        <v>17</v>
      </c>
      <c r="I70" s="175" t="s">
        <v>70</v>
      </c>
      <c r="J70" s="176">
        <f t="shared" si="18"/>
        <v>4</v>
      </c>
      <c r="K70" s="176">
        <f t="shared" si="19"/>
        <v>1</v>
      </c>
      <c r="L70" s="176">
        <f t="shared" si="20"/>
        <v>0</v>
      </c>
      <c r="M70" s="166">
        <f t="shared" si="21"/>
        <v>5</v>
      </c>
    </row>
    <row r="71" spans="1:15" x14ac:dyDescent="0.35">
      <c r="A71" s="169">
        <v>15</v>
      </c>
      <c r="B71" s="175" t="s">
        <v>60</v>
      </c>
      <c r="C71" s="171">
        <f t="shared" si="14"/>
        <v>24</v>
      </c>
      <c r="D71" s="171">
        <f t="shared" si="15"/>
        <v>14</v>
      </c>
      <c r="E71" s="171">
        <f t="shared" si="16"/>
        <v>0</v>
      </c>
      <c r="F71" s="166">
        <f t="shared" si="17"/>
        <v>38</v>
      </c>
      <c r="G71" s="183"/>
      <c r="H71" s="169">
        <v>16</v>
      </c>
      <c r="I71" s="175" t="s">
        <v>75</v>
      </c>
      <c r="J71" s="176">
        <f t="shared" si="18"/>
        <v>13</v>
      </c>
      <c r="K71" s="176">
        <f t="shared" si="19"/>
        <v>9</v>
      </c>
      <c r="L71" s="176">
        <f t="shared" si="20"/>
        <v>0</v>
      </c>
      <c r="M71" s="166">
        <f t="shared" si="21"/>
        <v>22</v>
      </c>
    </row>
    <row r="72" spans="1:15" x14ac:dyDescent="0.35">
      <c r="A72" s="169">
        <v>5</v>
      </c>
      <c r="B72" s="175" t="s">
        <v>199</v>
      </c>
      <c r="C72" s="171">
        <f t="shared" si="14"/>
        <v>7</v>
      </c>
      <c r="D72" s="171">
        <f t="shared" si="15"/>
        <v>19</v>
      </c>
      <c r="E72" s="171">
        <f t="shared" si="16"/>
        <v>16</v>
      </c>
      <c r="F72" s="166">
        <f t="shared" si="17"/>
        <v>42</v>
      </c>
      <c r="G72" s="183"/>
      <c r="H72" s="169">
        <v>9</v>
      </c>
      <c r="I72" s="175" t="s">
        <v>82</v>
      </c>
      <c r="J72" s="176">
        <f t="shared" si="18"/>
        <v>30</v>
      </c>
      <c r="K72" s="176">
        <f t="shared" si="19"/>
        <v>22</v>
      </c>
      <c r="L72" s="176">
        <f t="shared" si="20"/>
        <v>3</v>
      </c>
      <c r="M72" s="166">
        <f t="shared" si="21"/>
        <v>55</v>
      </c>
    </row>
    <row r="73" spans="1:15" x14ac:dyDescent="0.35">
      <c r="A73" s="169">
        <v>12</v>
      </c>
      <c r="B73" s="175" t="s">
        <v>84</v>
      </c>
      <c r="C73" s="171">
        <f t="shared" si="14"/>
        <v>22</v>
      </c>
      <c r="D73" s="171">
        <f t="shared" si="15"/>
        <v>44</v>
      </c>
      <c r="E73" s="171">
        <f t="shared" si="16"/>
        <v>24</v>
      </c>
      <c r="F73" s="166">
        <f t="shared" si="17"/>
        <v>90</v>
      </c>
      <c r="G73" s="183"/>
      <c r="H73" s="169">
        <v>13</v>
      </c>
      <c r="I73" s="175" t="s">
        <v>74</v>
      </c>
      <c r="J73" s="176">
        <f t="shared" si="18"/>
        <v>1</v>
      </c>
      <c r="K73" s="176">
        <f t="shared" si="19"/>
        <v>62</v>
      </c>
      <c r="L73" s="176">
        <f t="shared" si="20"/>
        <v>0</v>
      </c>
      <c r="M73" s="166">
        <f t="shared" si="21"/>
        <v>63</v>
      </c>
    </row>
    <row r="74" spans="1:15" x14ac:dyDescent="0.35">
      <c r="A74" s="169">
        <v>17</v>
      </c>
      <c r="B74" s="175" t="s">
        <v>70</v>
      </c>
      <c r="C74" s="171">
        <f t="shared" si="14"/>
        <v>51</v>
      </c>
      <c r="D74" s="171">
        <f t="shared" si="15"/>
        <v>29</v>
      </c>
      <c r="E74" s="171">
        <f t="shared" si="16"/>
        <v>23</v>
      </c>
      <c r="F74" s="166">
        <f t="shared" si="17"/>
        <v>103</v>
      </c>
      <c r="G74" s="183"/>
      <c r="H74" s="169">
        <v>6</v>
      </c>
      <c r="I74" s="175" t="s">
        <v>202</v>
      </c>
      <c r="J74" s="176">
        <f t="shared" si="18"/>
        <v>49</v>
      </c>
      <c r="K74" s="176">
        <f t="shared" si="19"/>
        <v>59</v>
      </c>
      <c r="L74" s="176">
        <f t="shared" si="20"/>
        <v>11</v>
      </c>
      <c r="M74" s="166">
        <f t="shared" si="21"/>
        <v>119</v>
      </c>
    </row>
    <row r="75" spans="1:15" x14ac:dyDescent="0.35">
      <c r="A75" s="170">
        <v>13</v>
      </c>
      <c r="B75" s="178" t="s">
        <v>74</v>
      </c>
      <c r="C75" s="172">
        <f t="shared" si="14"/>
        <v>31</v>
      </c>
      <c r="D75" s="172">
        <f t="shared" si="15"/>
        <v>114</v>
      </c>
      <c r="E75" s="172">
        <f t="shared" si="16"/>
        <v>48</v>
      </c>
      <c r="F75" s="167">
        <f t="shared" si="17"/>
        <v>193</v>
      </c>
      <c r="G75" s="183"/>
      <c r="H75" s="170">
        <v>3</v>
      </c>
      <c r="I75" s="178" t="s">
        <v>197</v>
      </c>
      <c r="J75" s="179">
        <f t="shared" si="18"/>
        <v>70</v>
      </c>
      <c r="K75" s="179">
        <f t="shared" si="19"/>
        <v>82</v>
      </c>
      <c r="L75" s="179">
        <f t="shared" si="20"/>
        <v>62</v>
      </c>
      <c r="M75" s="167">
        <f t="shared" si="21"/>
        <v>214</v>
      </c>
    </row>
    <row r="77" spans="1:15" s="126" customFormat="1" ht="18.5" x14ac:dyDescent="0.45">
      <c r="B77" s="126" t="s">
        <v>135</v>
      </c>
    </row>
    <row r="78" spans="1:15" s="127" customFormat="1" ht="43.5" customHeight="1" x14ac:dyDescent="0.5">
      <c r="B78" s="128" t="s">
        <v>230</v>
      </c>
    </row>
    <row r="79" spans="1:15" x14ac:dyDescent="0.35">
      <c r="A79" s="50"/>
      <c r="B79" s="158" t="s">
        <v>100</v>
      </c>
      <c r="C79" s="50"/>
      <c r="D79" s="50"/>
      <c r="E79" s="158" t="s">
        <v>175</v>
      </c>
      <c r="F79" s="158"/>
      <c r="I79" s="40" t="s">
        <v>172</v>
      </c>
      <c r="M79" s="40" t="s">
        <v>172</v>
      </c>
    </row>
    <row r="80" spans="1:15" x14ac:dyDescent="0.35">
      <c r="A80" s="168"/>
      <c r="B80" s="164"/>
      <c r="C80" s="165" t="str">
        <f>[1]Data!U30</f>
        <v>Local consultant</v>
      </c>
      <c r="D80" s="182"/>
      <c r="E80" s="168"/>
      <c r="F80" s="164"/>
      <c r="G80" s="165" t="str">
        <f>[1]Data!V30</f>
        <v>Visiting consultant</v>
      </c>
      <c r="H80" s="182"/>
      <c r="I80" s="168"/>
      <c r="J80" s="164"/>
      <c r="K80" s="165" t="str">
        <f>[1]Data!U5</f>
        <v>Local consultant</v>
      </c>
      <c r="L80" s="182"/>
      <c r="M80" s="168"/>
      <c r="N80" s="164"/>
      <c r="O80" s="165" t="str">
        <f>[1]Data!V5</f>
        <v>Visiting consultant</v>
      </c>
    </row>
    <row r="81" spans="1:15" x14ac:dyDescent="0.35">
      <c r="A81" s="169">
        <v>1</v>
      </c>
      <c r="B81" s="175" t="s">
        <v>195</v>
      </c>
      <c r="C81" s="184" t="e">
        <f t="shared" ref="C81:C98" si="22">IF(INDEX(Q2_Paeds,4+$A81,21)="No data",NA(),INDEX(Q2_Paeds,4+$A81,21))</f>
        <v>#N/A</v>
      </c>
      <c r="D81" s="186"/>
      <c r="E81" s="169">
        <v>1</v>
      </c>
      <c r="F81" s="175" t="s">
        <v>195</v>
      </c>
      <c r="G81" s="184" t="e">
        <f t="shared" ref="G81:G98" si="23">IF(INDEX(Q2_Paeds,4+$E81,22)="No data",NA(),INDEX(Q2_Paeds,4+$E81,22))</f>
        <v>#N/A</v>
      </c>
      <c r="H81" s="186"/>
      <c r="I81" s="169">
        <v>4</v>
      </c>
      <c r="J81" s="175" t="s">
        <v>198</v>
      </c>
      <c r="K81" s="184" t="e">
        <f t="shared" ref="K81:K98" si="24">IF(INDEX(Q2_Adult,4+$I81,21)="No data",NA(),INDEX(Q2_Adult,4+$I81,21))</f>
        <v>#N/A</v>
      </c>
      <c r="L81" s="186"/>
      <c r="M81" s="169">
        <v>4</v>
      </c>
      <c r="N81" s="175" t="s">
        <v>198</v>
      </c>
      <c r="O81" s="184" t="e">
        <f t="shared" ref="O81:O98" si="25">IF(INDEX(Q2_Adult,4+$M81,22)="No data",NA(),INDEX(Q2_Adult,4+$M81,22))</f>
        <v>#N/A</v>
      </c>
    </row>
    <row r="82" spans="1:15" x14ac:dyDescent="0.35">
      <c r="A82" s="169">
        <v>3</v>
      </c>
      <c r="B82" s="175" t="s">
        <v>197</v>
      </c>
      <c r="C82" s="184" t="e">
        <f t="shared" si="22"/>
        <v>#N/A</v>
      </c>
      <c r="D82" s="186"/>
      <c r="E82" s="169">
        <v>3</v>
      </c>
      <c r="F82" s="175" t="s">
        <v>197</v>
      </c>
      <c r="G82" s="184" t="e">
        <f t="shared" si="23"/>
        <v>#N/A</v>
      </c>
      <c r="H82" s="186"/>
      <c r="I82" s="169">
        <v>7</v>
      </c>
      <c r="J82" s="175" t="s">
        <v>203</v>
      </c>
      <c r="K82" s="184" t="e">
        <f t="shared" si="24"/>
        <v>#N/A</v>
      </c>
      <c r="L82" s="186"/>
      <c r="M82" s="169">
        <v>7</v>
      </c>
      <c r="N82" s="175" t="s">
        <v>203</v>
      </c>
      <c r="O82" s="184" t="e">
        <f t="shared" si="25"/>
        <v>#N/A</v>
      </c>
    </row>
    <row r="83" spans="1:15" x14ac:dyDescent="0.35">
      <c r="A83" s="169">
        <v>9</v>
      </c>
      <c r="B83" s="175" t="s">
        <v>82</v>
      </c>
      <c r="C83" s="184" t="e">
        <f t="shared" si="22"/>
        <v>#N/A</v>
      </c>
      <c r="D83" s="186"/>
      <c r="E83" s="169">
        <v>9</v>
      </c>
      <c r="F83" s="175" t="s">
        <v>82</v>
      </c>
      <c r="G83" s="184" t="e">
        <f t="shared" si="23"/>
        <v>#N/A</v>
      </c>
      <c r="H83" s="186"/>
      <c r="I83" s="169">
        <v>10</v>
      </c>
      <c r="J83" s="175" t="s">
        <v>83</v>
      </c>
      <c r="K83" s="184" t="e">
        <f t="shared" si="24"/>
        <v>#N/A</v>
      </c>
      <c r="L83" s="186"/>
      <c r="M83" s="169">
        <v>10</v>
      </c>
      <c r="N83" s="175" t="s">
        <v>83</v>
      </c>
      <c r="O83" s="184" t="e">
        <f t="shared" si="25"/>
        <v>#N/A</v>
      </c>
    </row>
    <row r="84" spans="1:15" x14ac:dyDescent="0.35">
      <c r="A84" s="169">
        <v>14</v>
      </c>
      <c r="B84" s="175" t="s">
        <v>86</v>
      </c>
      <c r="C84" s="184" t="e">
        <f t="shared" si="22"/>
        <v>#N/A</v>
      </c>
      <c r="D84" s="186"/>
      <c r="E84" s="169">
        <v>14</v>
      </c>
      <c r="F84" s="175" t="s">
        <v>86</v>
      </c>
      <c r="G84" s="184" t="e">
        <f t="shared" si="23"/>
        <v>#N/A</v>
      </c>
      <c r="H84" s="186"/>
      <c r="I84" s="169">
        <v>12</v>
      </c>
      <c r="J84" s="175" t="s">
        <v>84</v>
      </c>
      <c r="K84" s="184" t="e">
        <f t="shared" si="24"/>
        <v>#N/A</v>
      </c>
      <c r="L84" s="186"/>
      <c r="M84" s="169">
        <v>12</v>
      </c>
      <c r="N84" s="175" t="s">
        <v>84</v>
      </c>
      <c r="O84" s="184" t="e">
        <f t="shared" si="25"/>
        <v>#N/A</v>
      </c>
    </row>
    <row r="85" spans="1:15" x14ac:dyDescent="0.35">
      <c r="A85" s="169">
        <v>16</v>
      </c>
      <c r="B85" s="175" t="s">
        <v>75</v>
      </c>
      <c r="C85" s="184" t="e">
        <f t="shared" si="22"/>
        <v>#N/A</v>
      </c>
      <c r="D85" s="186"/>
      <c r="E85" s="169">
        <v>16</v>
      </c>
      <c r="F85" s="175" t="s">
        <v>75</v>
      </c>
      <c r="G85" s="184" t="e">
        <f t="shared" si="23"/>
        <v>#N/A</v>
      </c>
      <c r="H85" s="186"/>
      <c r="I85" s="169">
        <v>15</v>
      </c>
      <c r="J85" s="175" t="s">
        <v>60</v>
      </c>
      <c r="K85" s="184" t="e">
        <f t="shared" si="24"/>
        <v>#N/A</v>
      </c>
      <c r="L85" s="186"/>
      <c r="M85" s="169">
        <v>15</v>
      </c>
      <c r="N85" s="175" t="s">
        <v>60</v>
      </c>
      <c r="O85" s="184" t="e">
        <f t="shared" si="25"/>
        <v>#N/A</v>
      </c>
    </row>
    <row r="86" spans="1:15" x14ac:dyDescent="0.35">
      <c r="A86" s="169">
        <v>7</v>
      </c>
      <c r="B86" s="175" t="s">
        <v>203</v>
      </c>
      <c r="C86" s="184">
        <f t="shared" si="22"/>
        <v>0</v>
      </c>
      <c r="D86" s="186"/>
      <c r="E86" s="169">
        <v>7</v>
      </c>
      <c r="F86" s="175" t="s">
        <v>203</v>
      </c>
      <c r="G86" s="184">
        <f t="shared" si="23"/>
        <v>0</v>
      </c>
      <c r="H86" s="186"/>
      <c r="I86" s="169">
        <v>3</v>
      </c>
      <c r="J86" s="175" t="s">
        <v>197</v>
      </c>
      <c r="K86" s="184">
        <f t="shared" si="24"/>
        <v>0</v>
      </c>
      <c r="L86" s="186"/>
      <c r="M86" s="169">
        <v>11</v>
      </c>
      <c r="N86" s="175" t="s">
        <v>201</v>
      </c>
      <c r="O86" s="184" t="e">
        <f t="shared" si="25"/>
        <v>#N/A</v>
      </c>
    </row>
    <row r="87" spans="1:15" x14ac:dyDescent="0.35">
      <c r="A87" s="169">
        <v>6</v>
      </c>
      <c r="B87" s="175" t="s">
        <v>202</v>
      </c>
      <c r="C87" s="184">
        <f t="shared" si="22"/>
        <v>0</v>
      </c>
      <c r="D87" s="186"/>
      <c r="E87" s="169">
        <v>6</v>
      </c>
      <c r="F87" s="175" t="s">
        <v>202</v>
      </c>
      <c r="G87" s="184">
        <f t="shared" si="23"/>
        <v>0</v>
      </c>
      <c r="H87" s="186"/>
      <c r="I87" s="169">
        <v>5</v>
      </c>
      <c r="J87" s="175" t="s">
        <v>199</v>
      </c>
      <c r="K87" s="184">
        <f t="shared" si="24"/>
        <v>0</v>
      </c>
      <c r="L87" s="186"/>
      <c r="M87" s="169">
        <v>1</v>
      </c>
      <c r="N87" s="175" t="s">
        <v>195</v>
      </c>
      <c r="O87" s="184">
        <f t="shared" si="25"/>
        <v>0</v>
      </c>
    </row>
    <row r="88" spans="1:15" x14ac:dyDescent="0.35">
      <c r="A88" s="169">
        <v>17</v>
      </c>
      <c r="B88" s="175" t="s">
        <v>70</v>
      </c>
      <c r="C88" s="184">
        <f t="shared" si="22"/>
        <v>0.03</v>
      </c>
      <c r="D88" s="186"/>
      <c r="E88" s="169">
        <v>2</v>
      </c>
      <c r="F88" s="175" t="s">
        <v>196</v>
      </c>
      <c r="G88" s="184">
        <f t="shared" si="23"/>
        <v>0</v>
      </c>
      <c r="H88" s="186"/>
      <c r="I88" s="169">
        <v>6</v>
      </c>
      <c r="J88" s="175" t="s">
        <v>202</v>
      </c>
      <c r="K88" s="184">
        <f t="shared" si="24"/>
        <v>0</v>
      </c>
      <c r="L88" s="186"/>
      <c r="M88" s="169">
        <v>2</v>
      </c>
      <c r="N88" s="175" t="s">
        <v>196</v>
      </c>
      <c r="O88" s="184">
        <f t="shared" si="25"/>
        <v>0</v>
      </c>
    </row>
    <row r="89" spans="1:15" x14ac:dyDescent="0.35">
      <c r="A89" s="169">
        <v>15</v>
      </c>
      <c r="B89" s="175" t="s">
        <v>60</v>
      </c>
      <c r="C89" s="184">
        <f t="shared" si="22"/>
        <v>0.05</v>
      </c>
      <c r="D89" s="186"/>
      <c r="E89" s="169">
        <v>11</v>
      </c>
      <c r="F89" s="175" t="s">
        <v>201</v>
      </c>
      <c r="G89" s="184">
        <f t="shared" si="23"/>
        <v>0</v>
      </c>
      <c r="H89" s="186"/>
      <c r="I89" s="169">
        <v>8</v>
      </c>
      <c r="J89" s="175" t="s">
        <v>200</v>
      </c>
      <c r="K89" s="184">
        <f t="shared" si="24"/>
        <v>0</v>
      </c>
      <c r="L89" s="186"/>
      <c r="M89" s="169">
        <v>3</v>
      </c>
      <c r="N89" s="175" t="s">
        <v>197</v>
      </c>
      <c r="O89" s="184">
        <f t="shared" si="25"/>
        <v>0</v>
      </c>
    </row>
    <row r="90" spans="1:15" x14ac:dyDescent="0.35">
      <c r="A90" s="169">
        <v>10</v>
      </c>
      <c r="B90" s="175" t="s">
        <v>83</v>
      </c>
      <c r="C90" s="184">
        <f t="shared" si="22"/>
        <v>0.06</v>
      </c>
      <c r="D90" s="186"/>
      <c r="E90" s="169">
        <v>15</v>
      </c>
      <c r="F90" s="175" t="s">
        <v>60</v>
      </c>
      <c r="G90" s="184">
        <f t="shared" si="23"/>
        <v>0</v>
      </c>
      <c r="H90" s="186"/>
      <c r="I90" s="169">
        <v>18</v>
      </c>
      <c r="J90" s="175" t="s">
        <v>87</v>
      </c>
      <c r="K90" s="184">
        <f t="shared" si="24"/>
        <v>0</v>
      </c>
      <c r="L90" s="186"/>
      <c r="M90" s="169">
        <v>5</v>
      </c>
      <c r="N90" s="175" t="s">
        <v>199</v>
      </c>
      <c r="O90" s="184">
        <f t="shared" si="25"/>
        <v>0</v>
      </c>
    </row>
    <row r="91" spans="1:15" x14ac:dyDescent="0.35">
      <c r="A91" s="169">
        <v>18</v>
      </c>
      <c r="B91" s="175" t="s">
        <v>87</v>
      </c>
      <c r="C91" s="184">
        <f t="shared" si="22"/>
        <v>7.0000000000000007E-2</v>
      </c>
      <c r="D91" s="186"/>
      <c r="E91" s="169">
        <v>17</v>
      </c>
      <c r="F91" s="175" t="s">
        <v>70</v>
      </c>
      <c r="G91" s="184">
        <f t="shared" si="23"/>
        <v>0</v>
      </c>
      <c r="H91" s="186"/>
      <c r="I91" s="169">
        <v>9</v>
      </c>
      <c r="J91" s="175" t="s">
        <v>82</v>
      </c>
      <c r="K91" s="184">
        <f t="shared" si="24"/>
        <v>0.02</v>
      </c>
      <c r="L91" s="186"/>
      <c r="M91" s="169">
        <v>8</v>
      </c>
      <c r="N91" s="175" t="s">
        <v>200</v>
      </c>
      <c r="O91" s="184">
        <f t="shared" si="25"/>
        <v>0</v>
      </c>
    </row>
    <row r="92" spans="1:15" x14ac:dyDescent="0.35">
      <c r="A92" s="169">
        <v>2</v>
      </c>
      <c r="B92" s="175" t="s">
        <v>196</v>
      </c>
      <c r="C92" s="184">
        <f t="shared" si="22"/>
        <v>7.5999999999999998E-2</v>
      </c>
      <c r="D92" s="186"/>
      <c r="E92" s="169">
        <v>18</v>
      </c>
      <c r="F92" s="175" t="s">
        <v>87</v>
      </c>
      <c r="G92" s="184">
        <f t="shared" si="23"/>
        <v>0.05</v>
      </c>
      <c r="H92" s="186"/>
      <c r="I92" s="169">
        <v>14</v>
      </c>
      <c r="J92" s="175" t="s">
        <v>86</v>
      </c>
      <c r="K92" s="184">
        <f t="shared" si="24"/>
        <v>0.03</v>
      </c>
      <c r="L92" s="186"/>
      <c r="M92" s="169">
        <v>14</v>
      </c>
      <c r="N92" s="175" t="s">
        <v>86</v>
      </c>
      <c r="O92" s="184">
        <f t="shared" si="25"/>
        <v>0</v>
      </c>
    </row>
    <row r="93" spans="1:15" x14ac:dyDescent="0.35">
      <c r="A93" s="169">
        <v>11</v>
      </c>
      <c r="B93" s="175" t="s">
        <v>201</v>
      </c>
      <c r="C93" s="184">
        <f t="shared" si="22"/>
        <v>9.2999999999999999E-2</v>
      </c>
      <c r="D93" s="186"/>
      <c r="E93" s="169">
        <v>10</v>
      </c>
      <c r="F93" s="175" t="s">
        <v>83</v>
      </c>
      <c r="G93" s="184">
        <f t="shared" si="23"/>
        <v>0.06</v>
      </c>
      <c r="H93" s="186"/>
      <c r="I93" s="169">
        <v>1</v>
      </c>
      <c r="J93" s="175" t="s">
        <v>195</v>
      </c>
      <c r="K93" s="184">
        <f t="shared" si="24"/>
        <v>0.08</v>
      </c>
      <c r="L93" s="186"/>
      <c r="M93" s="169">
        <v>17</v>
      </c>
      <c r="N93" s="175" t="s">
        <v>70</v>
      </c>
      <c r="O93" s="184">
        <f t="shared" si="25"/>
        <v>0</v>
      </c>
    </row>
    <row r="94" spans="1:15" x14ac:dyDescent="0.35">
      <c r="A94" s="169">
        <v>5</v>
      </c>
      <c r="B94" s="175" t="s">
        <v>199</v>
      </c>
      <c r="C94" s="184">
        <f t="shared" si="22"/>
        <v>0.12</v>
      </c>
      <c r="D94" s="186"/>
      <c r="E94" s="169">
        <v>8</v>
      </c>
      <c r="F94" s="175" t="s">
        <v>200</v>
      </c>
      <c r="G94" s="184">
        <f t="shared" si="23"/>
        <v>7.0000000000000007E-2</v>
      </c>
      <c r="H94" s="186"/>
      <c r="I94" s="169">
        <v>2</v>
      </c>
      <c r="J94" s="175" t="s">
        <v>196</v>
      </c>
      <c r="K94" s="184">
        <f t="shared" si="24"/>
        <v>0.09</v>
      </c>
      <c r="L94" s="186"/>
      <c r="M94" s="169">
        <v>18</v>
      </c>
      <c r="N94" s="175" t="s">
        <v>87</v>
      </c>
      <c r="O94" s="184">
        <f t="shared" si="25"/>
        <v>0</v>
      </c>
    </row>
    <row r="95" spans="1:15" x14ac:dyDescent="0.35">
      <c r="A95" s="169">
        <v>8</v>
      </c>
      <c r="B95" s="175" t="s">
        <v>200</v>
      </c>
      <c r="C95" s="184">
        <f t="shared" si="22"/>
        <v>0.12</v>
      </c>
      <c r="D95" s="186"/>
      <c r="E95" s="169">
        <v>13</v>
      </c>
      <c r="F95" s="175" t="s">
        <v>74</v>
      </c>
      <c r="G95" s="184">
        <f t="shared" si="23"/>
        <v>7.0000000000000007E-2</v>
      </c>
      <c r="H95" s="186"/>
      <c r="I95" s="169">
        <v>16</v>
      </c>
      <c r="J95" s="175" t="s">
        <v>75</v>
      </c>
      <c r="K95" s="184">
        <f t="shared" si="24"/>
        <v>0.1</v>
      </c>
      <c r="L95" s="186"/>
      <c r="M95" s="169">
        <v>9</v>
      </c>
      <c r="N95" s="175" t="s">
        <v>82</v>
      </c>
      <c r="O95" s="184">
        <f t="shared" si="25"/>
        <v>0.02</v>
      </c>
    </row>
    <row r="96" spans="1:15" x14ac:dyDescent="0.35">
      <c r="A96" s="169">
        <v>13</v>
      </c>
      <c r="B96" s="175" t="s">
        <v>74</v>
      </c>
      <c r="C96" s="184">
        <f t="shared" si="22"/>
        <v>0.13</v>
      </c>
      <c r="D96" s="186"/>
      <c r="E96" s="169">
        <v>4</v>
      </c>
      <c r="F96" s="175" t="s">
        <v>198</v>
      </c>
      <c r="G96" s="184">
        <f t="shared" si="23"/>
        <v>0.16</v>
      </c>
      <c r="H96" s="186"/>
      <c r="I96" s="169">
        <v>13</v>
      </c>
      <c r="J96" s="175" t="s">
        <v>74</v>
      </c>
      <c r="K96" s="184">
        <f t="shared" si="24"/>
        <v>0.16</v>
      </c>
      <c r="L96" s="186"/>
      <c r="M96" s="169">
        <v>6</v>
      </c>
      <c r="N96" s="175" t="s">
        <v>202</v>
      </c>
      <c r="O96" s="184">
        <f t="shared" si="25"/>
        <v>0.1</v>
      </c>
    </row>
    <row r="97" spans="1:15" x14ac:dyDescent="0.35">
      <c r="A97" s="169">
        <v>12</v>
      </c>
      <c r="B97" s="175" t="s">
        <v>84</v>
      </c>
      <c r="C97" s="184">
        <f t="shared" si="22"/>
        <v>0.17</v>
      </c>
      <c r="D97" s="186"/>
      <c r="E97" s="169">
        <v>12</v>
      </c>
      <c r="F97" s="175" t="s">
        <v>84</v>
      </c>
      <c r="G97" s="184">
        <f t="shared" si="23"/>
        <v>0.18</v>
      </c>
      <c r="H97" s="186"/>
      <c r="I97" s="169">
        <v>11</v>
      </c>
      <c r="J97" s="175" t="s">
        <v>201</v>
      </c>
      <c r="K97" s="184">
        <f t="shared" si="24"/>
        <v>0.193</v>
      </c>
      <c r="L97" s="186"/>
      <c r="M97" s="169">
        <v>16</v>
      </c>
      <c r="N97" s="175" t="s">
        <v>75</v>
      </c>
      <c r="O97" s="184">
        <f t="shared" si="25"/>
        <v>0.13</v>
      </c>
    </row>
    <row r="98" spans="1:15" x14ac:dyDescent="0.35">
      <c r="A98" s="170">
        <v>4</v>
      </c>
      <c r="B98" s="178" t="s">
        <v>198</v>
      </c>
      <c r="C98" s="185">
        <f t="shared" si="22"/>
        <v>0.22</v>
      </c>
      <c r="D98" s="186"/>
      <c r="E98" s="170">
        <v>5</v>
      </c>
      <c r="F98" s="178" t="s">
        <v>199</v>
      </c>
      <c r="G98" s="185">
        <f t="shared" si="23"/>
        <v>0.26</v>
      </c>
      <c r="H98" s="186"/>
      <c r="I98" s="170">
        <v>17</v>
      </c>
      <c r="J98" s="178" t="s">
        <v>70</v>
      </c>
      <c r="K98" s="185">
        <f t="shared" si="24"/>
        <v>0.25</v>
      </c>
      <c r="L98" s="186"/>
      <c r="M98" s="170">
        <v>13</v>
      </c>
      <c r="N98" s="178" t="s">
        <v>74</v>
      </c>
      <c r="O98" s="185">
        <f t="shared" si="25"/>
        <v>0.16</v>
      </c>
    </row>
    <row r="99" spans="1:15" s="50" customFormat="1" x14ac:dyDescent="0.35">
      <c r="B99" s="92"/>
      <c r="C99" s="129"/>
      <c r="D99" s="129"/>
      <c r="E99" s="92"/>
      <c r="F99" s="129"/>
    </row>
    <row r="100" spans="1:15" ht="18.5" x14ac:dyDescent="0.35">
      <c r="B100" s="130" t="s">
        <v>212</v>
      </c>
      <c r="F100" s="130" t="s">
        <v>213</v>
      </c>
    </row>
    <row r="101" spans="1:15" x14ac:dyDescent="0.35">
      <c r="A101" s="277" t="s">
        <v>101</v>
      </c>
      <c r="B101" s="491" t="s">
        <v>211</v>
      </c>
      <c r="C101" s="492"/>
      <c r="D101" s="278"/>
      <c r="E101" s="279" t="s">
        <v>101</v>
      </c>
      <c r="F101" s="493" t="s">
        <v>6</v>
      </c>
      <c r="G101" s="493"/>
      <c r="H101" s="493" t="s">
        <v>7</v>
      </c>
      <c r="I101" s="493"/>
      <c r="J101" s="493" t="s">
        <v>8</v>
      </c>
      <c r="K101" s="493"/>
      <c r="L101" s="493" t="s">
        <v>9</v>
      </c>
      <c r="M101" s="493"/>
    </row>
    <row r="102" spans="1:15" ht="15" customHeight="1" x14ac:dyDescent="0.35">
      <c r="A102" s="280" t="s">
        <v>67</v>
      </c>
      <c r="B102" s="281" t="s">
        <v>2</v>
      </c>
      <c r="C102" s="282" t="s">
        <v>102</v>
      </c>
      <c r="D102" s="278"/>
      <c r="E102" s="283" t="s">
        <v>67</v>
      </c>
      <c r="F102" s="284" t="s">
        <v>2</v>
      </c>
      <c r="G102" s="285" t="s">
        <v>102</v>
      </c>
      <c r="H102" s="286" t="s">
        <v>2</v>
      </c>
      <c r="I102" s="287" t="s">
        <v>102</v>
      </c>
      <c r="J102" s="288" t="s">
        <v>2</v>
      </c>
      <c r="K102" s="285" t="s">
        <v>102</v>
      </c>
      <c r="L102" s="289" t="s">
        <v>2</v>
      </c>
      <c r="M102" s="287" t="s">
        <v>102</v>
      </c>
      <c r="N102" s="55"/>
    </row>
    <row r="103" spans="1:15" x14ac:dyDescent="0.35">
      <c r="A103" s="290" t="s">
        <v>209</v>
      </c>
      <c r="B103" s="291">
        <f>_xlfn.AGGREGATE(4,6,$K$81:$K$98)</f>
        <v>0.25</v>
      </c>
      <c r="C103" s="292">
        <f>_xlfn.AGGREGATE(4,6,$O$81:$O$98)</f>
        <v>0.16</v>
      </c>
      <c r="D103" s="278"/>
      <c r="E103" s="279" t="s">
        <v>209</v>
      </c>
      <c r="F103" s="293">
        <v>0.255</v>
      </c>
      <c r="G103" s="294">
        <v>0.19</v>
      </c>
      <c r="H103" s="293">
        <v>0.25</v>
      </c>
      <c r="I103" s="294">
        <v>0.16</v>
      </c>
      <c r="J103" s="295"/>
      <c r="K103" s="294"/>
      <c r="L103" s="296"/>
      <c r="M103" s="294"/>
      <c r="N103" s="55"/>
    </row>
    <row r="104" spans="1:15" x14ac:dyDescent="0.35">
      <c r="A104" s="290" t="s">
        <v>207</v>
      </c>
      <c r="B104" s="291">
        <f>_xlfn.AGGREGATE(5,6,$K$81:$K$98)</f>
        <v>0</v>
      </c>
      <c r="C104" s="292">
        <f>_xlfn.AGGREGATE(5,6,$O$81:$O$98)</f>
        <v>0</v>
      </c>
      <c r="D104" s="278"/>
      <c r="E104" s="279" t="s">
        <v>207</v>
      </c>
      <c r="F104" s="293">
        <v>0</v>
      </c>
      <c r="G104" s="294">
        <v>0</v>
      </c>
      <c r="H104" s="293">
        <v>0</v>
      </c>
      <c r="I104" s="294">
        <v>0</v>
      </c>
      <c r="J104" s="295"/>
      <c r="K104" s="294"/>
      <c r="L104" s="296"/>
      <c r="M104" s="294"/>
      <c r="N104" s="55"/>
    </row>
    <row r="105" spans="1:15" x14ac:dyDescent="0.35">
      <c r="A105" s="297" t="s">
        <v>208</v>
      </c>
      <c r="B105" s="298">
        <f>_xlfn.AGGREGATE(12,6,$K$81:$K$98)</f>
        <v>0.03</v>
      </c>
      <c r="C105" s="299">
        <f>_xlfn.AGGREGATE(12,6,$O$81:$O$98)</f>
        <v>0</v>
      </c>
      <c r="D105" s="278"/>
      <c r="E105" s="279" t="s">
        <v>208</v>
      </c>
      <c r="F105" s="300">
        <v>0.04</v>
      </c>
      <c r="G105" s="301">
        <v>0</v>
      </c>
      <c r="H105" s="300">
        <v>0.02</v>
      </c>
      <c r="I105" s="301">
        <v>0</v>
      </c>
      <c r="J105" s="302"/>
      <c r="K105" s="301"/>
      <c r="L105" s="303"/>
      <c r="M105" s="301"/>
      <c r="N105" s="55"/>
    </row>
    <row r="106" spans="1:15" x14ac:dyDescent="0.35">
      <c r="A106" s="278"/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</row>
    <row r="107" spans="1:15" x14ac:dyDescent="0.35">
      <c r="A107" s="288" t="s">
        <v>103</v>
      </c>
      <c r="B107" s="491" t="s">
        <v>211</v>
      </c>
      <c r="C107" s="492"/>
      <c r="D107" s="278"/>
      <c r="E107" s="304" t="s">
        <v>103</v>
      </c>
      <c r="F107" s="493" t="s">
        <v>6</v>
      </c>
      <c r="G107" s="493"/>
      <c r="H107" s="493" t="s">
        <v>7</v>
      </c>
      <c r="I107" s="493"/>
      <c r="J107" s="493" t="s">
        <v>8</v>
      </c>
      <c r="K107" s="493"/>
      <c r="L107" s="493" t="s">
        <v>9</v>
      </c>
      <c r="M107" s="493"/>
    </row>
    <row r="108" spans="1:15" x14ac:dyDescent="0.35">
      <c r="A108" s="305" t="s">
        <v>16</v>
      </c>
      <c r="B108" s="306" t="s">
        <v>2</v>
      </c>
      <c r="C108" s="307" t="s">
        <v>102</v>
      </c>
      <c r="D108" s="278"/>
      <c r="E108" s="310" t="s">
        <v>16</v>
      </c>
      <c r="F108" s="284" t="s">
        <v>2</v>
      </c>
      <c r="G108" s="285" t="s">
        <v>102</v>
      </c>
      <c r="H108" s="286" t="s">
        <v>2</v>
      </c>
      <c r="I108" s="287" t="s">
        <v>102</v>
      </c>
      <c r="J108" s="288" t="s">
        <v>2</v>
      </c>
      <c r="K108" s="285" t="s">
        <v>102</v>
      </c>
      <c r="L108" s="289" t="s">
        <v>2</v>
      </c>
      <c r="M108" s="287" t="s">
        <v>102</v>
      </c>
    </row>
    <row r="109" spans="1:15" x14ac:dyDescent="0.35">
      <c r="A109" s="290" t="s">
        <v>209</v>
      </c>
      <c r="B109" s="291">
        <f>_xlfn.AGGREGATE(4,6,$C$81:$C$98)</f>
        <v>0.22</v>
      </c>
      <c r="C109" s="292">
        <f>_xlfn.AGGREGATE(4,6,$G$81:$G$98)</f>
        <v>0.26</v>
      </c>
      <c r="D109" s="278"/>
      <c r="E109" s="279" t="s">
        <v>209</v>
      </c>
      <c r="F109" s="293">
        <v>0.3095</v>
      </c>
      <c r="G109" s="294">
        <v>0.1</v>
      </c>
      <c r="H109" s="293">
        <v>0.22</v>
      </c>
      <c r="I109" s="294">
        <v>0.26</v>
      </c>
      <c r="J109" s="295"/>
      <c r="K109" s="294"/>
      <c r="L109" s="296"/>
      <c r="M109" s="294"/>
    </row>
    <row r="110" spans="1:15" x14ac:dyDescent="0.35">
      <c r="A110" s="290" t="s">
        <v>207</v>
      </c>
      <c r="B110" s="291">
        <f>_xlfn.AGGREGATE(5,6,$C$81:$C$98)</f>
        <v>0</v>
      </c>
      <c r="C110" s="292">
        <f>_xlfn.AGGREGATE(5,6,$G$81:$G$98)</f>
        <v>0</v>
      </c>
      <c r="D110" s="278"/>
      <c r="E110" s="279" t="s">
        <v>207</v>
      </c>
      <c r="F110" s="293">
        <v>0</v>
      </c>
      <c r="G110" s="294">
        <v>0</v>
      </c>
      <c r="H110" s="293">
        <v>0</v>
      </c>
      <c r="I110" s="294">
        <v>0</v>
      </c>
      <c r="J110" s="295"/>
      <c r="K110" s="294"/>
      <c r="L110" s="296"/>
      <c r="M110" s="294"/>
    </row>
    <row r="111" spans="1:15" x14ac:dyDescent="0.35">
      <c r="A111" s="297" t="s">
        <v>208</v>
      </c>
      <c r="B111" s="298">
        <f>_xlfn.AGGREGATE(12,6,$C$81:$C$98)</f>
        <v>7.5999999999999998E-2</v>
      </c>
      <c r="C111" s="299">
        <f>_xlfn.AGGREGATE(12,6,$G$81:$G$98)</f>
        <v>0.05</v>
      </c>
      <c r="D111" s="278"/>
      <c r="E111" s="279" t="s">
        <v>208</v>
      </c>
      <c r="F111" s="300">
        <v>6.3399999999999998E-2</v>
      </c>
      <c r="G111" s="301">
        <v>1.6E-2</v>
      </c>
      <c r="H111" s="300">
        <v>9.2999999999999999E-2</v>
      </c>
      <c r="I111" s="301">
        <v>0.05</v>
      </c>
      <c r="J111" s="302"/>
      <c r="K111" s="301"/>
      <c r="L111" s="303"/>
      <c r="M111" s="301"/>
    </row>
    <row r="116" spans="9:9" x14ac:dyDescent="0.35">
      <c r="I116" s="39" t="s">
        <v>73</v>
      </c>
    </row>
  </sheetData>
  <sortState xmlns:xlrd2="http://schemas.microsoft.com/office/spreadsheetml/2017/richdata2" ref="M87:O98">
    <sortCondition ref="O87:O98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zoomScale="90" zoomScaleNormal="90" workbookViewId="0">
      <selection activeCell="B2" sqref="B2"/>
    </sheetView>
  </sheetViews>
  <sheetFormatPr defaultColWidth="8.7265625" defaultRowHeight="14.5" x14ac:dyDescent="0.35"/>
  <cols>
    <col min="1" max="16" width="12.26953125" style="39" customWidth="1"/>
    <col min="17" max="16384" width="8.7265625" style="39"/>
  </cols>
  <sheetData>
    <row r="1" spans="1:12" ht="23.5" x14ac:dyDescent="0.55000000000000004">
      <c r="B1" s="191" t="s">
        <v>228</v>
      </c>
    </row>
    <row r="3" spans="1:12" x14ac:dyDescent="0.35">
      <c r="A3" s="229"/>
      <c r="B3" s="40" t="s">
        <v>176</v>
      </c>
      <c r="E3" s="229"/>
    </row>
    <row r="4" spans="1:12" x14ac:dyDescent="0.35">
      <c r="A4" s="229"/>
      <c r="B4" s="40" t="s">
        <v>177</v>
      </c>
      <c r="E4" s="229"/>
    </row>
    <row r="5" spans="1:12" x14ac:dyDescent="0.35">
      <c r="A5" s="229"/>
      <c r="B5" s="40" t="s">
        <v>178</v>
      </c>
      <c r="E5" s="229"/>
    </row>
    <row r="6" spans="1:12" s="125" customFormat="1" ht="21" x14ac:dyDescent="0.5">
      <c r="A6" s="230"/>
      <c r="B6" s="124" t="s">
        <v>132</v>
      </c>
      <c r="E6" s="230"/>
    </row>
    <row r="7" spans="1:12" s="127" customFormat="1" ht="43.5" customHeight="1" x14ac:dyDescent="0.5">
      <c r="A7" s="231"/>
      <c r="B7" s="128" t="s">
        <v>194</v>
      </c>
      <c r="E7" s="231"/>
    </row>
    <row r="8" spans="1:12" x14ac:dyDescent="0.35">
      <c r="B8" s="40" t="s">
        <v>133</v>
      </c>
      <c r="H8" s="229"/>
      <c r="I8" s="232" t="s">
        <v>67</v>
      </c>
      <c r="J8" s="229"/>
      <c r="K8" s="229"/>
      <c r="L8" s="229"/>
    </row>
    <row r="9" spans="1:12" ht="29" x14ac:dyDescent="0.35">
      <c r="A9" s="168"/>
      <c r="B9" s="181"/>
      <c r="C9" s="173" t="s">
        <v>13</v>
      </c>
      <c r="D9" s="173" t="s">
        <v>21</v>
      </c>
      <c r="E9" s="174" t="s">
        <v>37</v>
      </c>
      <c r="H9" s="168"/>
      <c r="I9" s="164"/>
      <c r="J9" s="173" t="s">
        <v>13</v>
      </c>
      <c r="K9" s="173" t="s">
        <v>21</v>
      </c>
      <c r="L9" s="174" t="s">
        <v>37</v>
      </c>
    </row>
    <row r="10" spans="1:12" x14ac:dyDescent="0.35">
      <c r="A10" s="169">
        <v>1</v>
      </c>
      <c r="B10" s="175" t="s">
        <v>195</v>
      </c>
      <c r="C10" s="176" t="e">
        <f t="shared" ref="C10:C27" si="0">IF(INDEX(Q4_Paeds,4+$A10,7)="No data",NA(),INDEX(Q4_Paeds,4+$A10,7))</f>
        <v>#N/A</v>
      </c>
      <c r="D10" s="176" t="e">
        <f t="shared" ref="D10:D27" si="1">IF(INDEX(Q4_Paeds,4+$A10,8)="No data",NA(),INDEX(Q4_Paeds,4+$A10,8))</f>
        <v>#N/A</v>
      </c>
      <c r="E10" s="177" t="e">
        <f t="shared" ref="E10:E27" si="2">MAX(C10:D10)</f>
        <v>#N/A</v>
      </c>
      <c r="H10" s="169">
        <v>1</v>
      </c>
      <c r="I10" s="175" t="s">
        <v>195</v>
      </c>
      <c r="J10" s="176" t="e">
        <f t="shared" ref="J10:J27" si="3">IF(INDEX(Q4_Adult,4+$H10,7)="No data",NA(),INDEX(Q4_Adult,4+$H10,7))</f>
        <v>#N/A</v>
      </c>
      <c r="K10" s="176" t="e">
        <f t="shared" ref="K10:K27" si="4">IF(INDEX(Q4_Adult,4+$H10,8)="No data",NA(),INDEX(Q4_Adult,4+$H10,8))</f>
        <v>#N/A</v>
      </c>
      <c r="L10" s="177" t="e">
        <f t="shared" ref="L10:L27" si="5">MAX(J10:K10)</f>
        <v>#N/A</v>
      </c>
    </row>
    <row r="11" spans="1:12" x14ac:dyDescent="0.35">
      <c r="A11" s="169">
        <v>2</v>
      </c>
      <c r="B11" s="175" t="s">
        <v>196</v>
      </c>
      <c r="C11" s="176" t="e">
        <f t="shared" si="0"/>
        <v>#N/A</v>
      </c>
      <c r="D11" s="176" t="e">
        <f t="shared" si="1"/>
        <v>#N/A</v>
      </c>
      <c r="E11" s="177" t="e">
        <f t="shared" si="2"/>
        <v>#N/A</v>
      </c>
      <c r="H11" s="169">
        <v>2</v>
      </c>
      <c r="I11" s="175" t="s">
        <v>196</v>
      </c>
      <c r="J11" s="176" t="e">
        <f t="shared" si="3"/>
        <v>#N/A</v>
      </c>
      <c r="K11" s="176" t="e">
        <f t="shared" si="4"/>
        <v>#N/A</v>
      </c>
      <c r="L11" s="177" t="e">
        <f t="shared" si="5"/>
        <v>#N/A</v>
      </c>
    </row>
    <row r="12" spans="1:12" x14ac:dyDescent="0.35">
      <c r="A12" s="169">
        <v>3</v>
      </c>
      <c r="B12" s="175" t="s">
        <v>197</v>
      </c>
      <c r="C12" s="176" t="e">
        <f t="shared" si="0"/>
        <v>#N/A</v>
      </c>
      <c r="D12" s="176" t="e">
        <f t="shared" si="1"/>
        <v>#N/A</v>
      </c>
      <c r="E12" s="177" t="e">
        <f t="shared" si="2"/>
        <v>#N/A</v>
      </c>
      <c r="H12" s="169">
        <v>3</v>
      </c>
      <c r="I12" s="175" t="s">
        <v>197</v>
      </c>
      <c r="J12" s="176" t="e">
        <f t="shared" si="3"/>
        <v>#N/A</v>
      </c>
      <c r="K12" s="176" t="e">
        <f t="shared" si="4"/>
        <v>#N/A</v>
      </c>
      <c r="L12" s="177" t="e">
        <f t="shared" si="5"/>
        <v>#N/A</v>
      </c>
    </row>
    <row r="13" spans="1:12" x14ac:dyDescent="0.35">
      <c r="A13" s="169">
        <v>4</v>
      </c>
      <c r="B13" s="175" t="s">
        <v>198</v>
      </c>
      <c r="C13" s="176" t="e">
        <f t="shared" si="0"/>
        <v>#N/A</v>
      </c>
      <c r="D13" s="176" t="e">
        <f t="shared" si="1"/>
        <v>#N/A</v>
      </c>
      <c r="E13" s="177" t="e">
        <f t="shared" si="2"/>
        <v>#N/A</v>
      </c>
      <c r="H13" s="169">
        <v>4</v>
      </c>
      <c r="I13" s="175" t="s">
        <v>198</v>
      </c>
      <c r="J13" s="176" t="e">
        <f t="shared" si="3"/>
        <v>#N/A</v>
      </c>
      <c r="K13" s="176" t="e">
        <f t="shared" si="4"/>
        <v>#N/A</v>
      </c>
      <c r="L13" s="177" t="e">
        <f t="shared" si="5"/>
        <v>#N/A</v>
      </c>
    </row>
    <row r="14" spans="1:12" x14ac:dyDescent="0.35">
      <c r="A14" s="169">
        <v>5</v>
      </c>
      <c r="B14" s="175" t="s">
        <v>199</v>
      </c>
      <c r="C14" s="176" t="e">
        <f t="shared" si="0"/>
        <v>#N/A</v>
      </c>
      <c r="D14" s="176" t="e">
        <f t="shared" si="1"/>
        <v>#N/A</v>
      </c>
      <c r="E14" s="177" t="e">
        <f t="shared" si="2"/>
        <v>#N/A</v>
      </c>
      <c r="H14" s="169">
        <v>5</v>
      </c>
      <c r="I14" s="175" t="s">
        <v>199</v>
      </c>
      <c r="J14" s="176" t="e">
        <f t="shared" si="3"/>
        <v>#N/A</v>
      </c>
      <c r="K14" s="176" t="e">
        <f t="shared" si="4"/>
        <v>#N/A</v>
      </c>
      <c r="L14" s="177" t="e">
        <f t="shared" si="5"/>
        <v>#N/A</v>
      </c>
    </row>
    <row r="15" spans="1:12" x14ac:dyDescent="0.35">
      <c r="A15" s="169">
        <v>6</v>
      </c>
      <c r="B15" s="175" t="s">
        <v>202</v>
      </c>
      <c r="C15" s="176" t="e">
        <f t="shared" si="0"/>
        <v>#N/A</v>
      </c>
      <c r="D15" s="176" t="e">
        <f t="shared" si="1"/>
        <v>#N/A</v>
      </c>
      <c r="E15" s="177" t="e">
        <f t="shared" si="2"/>
        <v>#N/A</v>
      </c>
      <c r="H15" s="169">
        <v>6</v>
      </c>
      <c r="I15" s="175" t="s">
        <v>202</v>
      </c>
      <c r="J15" s="176" t="e">
        <f t="shared" si="3"/>
        <v>#N/A</v>
      </c>
      <c r="K15" s="176" t="e">
        <f t="shared" si="4"/>
        <v>#N/A</v>
      </c>
      <c r="L15" s="177" t="e">
        <f t="shared" si="5"/>
        <v>#N/A</v>
      </c>
    </row>
    <row r="16" spans="1:12" x14ac:dyDescent="0.35">
      <c r="A16" s="169">
        <v>7</v>
      </c>
      <c r="B16" s="175" t="s">
        <v>203</v>
      </c>
      <c r="C16" s="176" t="e">
        <f t="shared" si="0"/>
        <v>#N/A</v>
      </c>
      <c r="D16" s="176" t="e">
        <f t="shared" si="1"/>
        <v>#N/A</v>
      </c>
      <c r="E16" s="177" t="e">
        <f t="shared" si="2"/>
        <v>#N/A</v>
      </c>
      <c r="H16" s="169">
        <v>7</v>
      </c>
      <c r="I16" s="175" t="s">
        <v>203</v>
      </c>
      <c r="J16" s="176" t="e">
        <f t="shared" si="3"/>
        <v>#N/A</v>
      </c>
      <c r="K16" s="176" t="e">
        <f t="shared" si="4"/>
        <v>#N/A</v>
      </c>
      <c r="L16" s="177" t="e">
        <f t="shared" si="5"/>
        <v>#N/A</v>
      </c>
    </row>
    <row r="17" spans="1:16" x14ac:dyDescent="0.35">
      <c r="A17" s="169">
        <v>8</v>
      </c>
      <c r="B17" s="175" t="s">
        <v>200</v>
      </c>
      <c r="C17" s="176" t="e">
        <f t="shared" si="0"/>
        <v>#N/A</v>
      </c>
      <c r="D17" s="176" t="e">
        <f t="shared" si="1"/>
        <v>#N/A</v>
      </c>
      <c r="E17" s="177" t="e">
        <f t="shared" si="2"/>
        <v>#N/A</v>
      </c>
      <c r="H17" s="169">
        <v>8</v>
      </c>
      <c r="I17" s="175" t="s">
        <v>200</v>
      </c>
      <c r="J17" s="176" t="e">
        <f t="shared" si="3"/>
        <v>#N/A</v>
      </c>
      <c r="K17" s="176" t="e">
        <f t="shared" si="4"/>
        <v>#N/A</v>
      </c>
      <c r="L17" s="177" t="e">
        <f t="shared" si="5"/>
        <v>#N/A</v>
      </c>
    </row>
    <row r="18" spans="1:16" x14ac:dyDescent="0.35">
      <c r="A18" s="169">
        <v>9</v>
      </c>
      <c r="B18" s="175" t="s">
        <v>82</v>
      </c>
      <c r="C18" s="176" t="e">
        <f t="shared" si="0"/>
        <v>#N/A</v>
      </c>
      <c r="D18" s="176" t="e">
        <f t="shared" si="1"/>
        <v>#N/A</v>
      </c>
      <c r="E18" s="177" t="e">
        <f t="shared" si="2"/>
        <v>#N/A</v>
      </c>
      <c r="H18" s="169">
        <v>9</v>
      </c>
      <c r="I18" s="175" t="s">
        <v>82</v>
      </c>
      <c r="J18" s="176" t="e">
        <f t="shared" si="3"/>
        <v>#N/A</v>
      </c>
      <c r="K18" s="176" t="e">
        <f t="shared" si="4"/>
        <v>#N/A</v>
      </c>
      <c r="L18" s="177" t="e">
        <f t="shared" si="5"/>
        <v>#N/A</v>
      </c>
    </row>
    <row r="19" spans="1:16" x14ac:dyDescent="0.35">
      <c r="A19" s="169">
        <v>10</v>
      </c>
      <c r="B19" s="175" t="s">
        <v>83</v>
      </c>
      <c r="C19" s="176" t="e">
        <f t="shared" si="0"/>
        <v>#N/A</v>
      </c>
      <c r="D19" s="176" t="e">
        <f t="shared" si="1"/>
        <v>#N/A</v>
      </c>
      <c r="E19" s="177" t="e">
        <f t="shared" si="2"/>
        <v>#N/A</v>
      </c>
      <c r="H19" s="169">
        <v>10</v>
      </c>
      <c r="I19" s="175" t="s">
        <v>83</v>
      </c>
      <c r="J19" s="176" t="e">
        <f t="shared" si="3"/>
        <v>#N/A</v>
      </c>
      <c r="K19" s="176" t="e">
        <f t="shared" si="4"/>
        <v>#N/A</v>
      </c>
      <c r="L19" s="177" t="e">
        <f t="shared" si="5"/>
        <v>#N/A</v>
      </c>
    </row>
    <row r="20" spans="1:16" x14ac:dyDescent="0.35">
      <c r="A20" s="169">
        <v>11</v>
      </c>
      <c r="B20" s="175" t="s">
        <v>201</v>
      </c>
      <c r="C20" s="176" t="e">
        <f t="shared" si="0"/>
        <v>#N/A</v>
      </c>
      <c r="D20" s="176" t="e">
        <f t="shared" si="1"/>
        <v>#N/A</v>
      </c>
      <c r="E20" s="177" t="e">
        <f t="shared" si="2"/>
        <v>#N/A</v>
      </c>
      <c r="H20" s="169">
        <v>11</v>
      </c>
      <c r="I20" s="175" t="s">
        <v>201</v>
      </c>
      <c r="J20" s="176" t="e">
        <f t="shared" si="3"/>
        <v>#N/A</v>
      </c>
      <c r="K20" s="176" t="e">
        <f t="shared" si="4"/>
        <v>#N/A</v>
      </c>
      <c r="L20" s="177" t="e">
        <f t="shared" si="5"/>
        <v>#N/A</v>
      </c>
    </row>
    <row r="21" spans="1:16" x14ac:dyDescent="0.35">
      <c r="A21" s="169">
        <v>12</v>
      </c>
      <c r="B21" s="175" t="s">
        <v>84</v>
      </c>
      <c r="C21" s="176" t="e">
        <f t="shared" si="0"/>
        <v>#N/A</v>
      </c>
      <c r="D21" s="176" t="e">
        <f t="shared" si="1"/>
        <v>#N/A</v>
      </c>
      <c r="E21" s="177" t="e">
        <f t="shared" si="2"/>
        <v>#N/A</v>
      </c>
      <c r="H21" s="169">
        <v>12</v>
      </c>
      <c r="I21" s="175" t="s">
        <v>84</v>
      </c>
      <c r="J21" s="176" t="e">
        <f t="shared" si="3"/>
        <v>#N/A</v>
      </c>
      <c r="K21" s="176" t="e">
        <f t="shared" si="4"/>
        <v>#N/A</v>
      </c>
      <c r="L21" s="177" t="e">
        <f t="shared" si="5"/>
        <v>#N/A</v>
      </c>
      <c r="P21" s="39" t="s">
        <v>73</v>
      </c>
    </row>
    <row r="22" spans="1:16" x14ac:dyDescent="0.35">
      <c r="A22" s="169">
        <v>13</v>
      </c>
      <c r="B22" s="175" t="s">
        <v>74</v>
      </c>
      <c r="C22" s="176" t="e">
        <f t="shared" si="0"/>
        <v>#N/A</v>
      </c>
      <c r="D22" s="176" t="e">
        <f t="shared" si="1"/>
        <v>#N/A</v>
      </c>
      <c r="E22" s="177" t="e">
        <f t="shared" si="2"/>
        <v>#N/A</v>
      </c>
      <c r="H22" s="169">
        <v>13</v>
      </c>
      <c r="I22" s="175" t="s">
        <v>74</v>
      </c>
      <c r="J22" s="176" t="e">
        <f t="shared" si="3"/>
        <v>#N/A</v>
      </c>
      <c r="K22" s="176" t="e">
        <f t="shared" si="4"/>
        <v>#N/A</v>
      </c>
      <c r="L22" s="177" t="e">
        <f t="shared" si="5"/>
        <v>#N/A</v>
      </c>
    </row>
    <row r="23" spans="1:16" x14ac:dyDescent="0.35">
      <c r="A23" s="169">
        <v>14</v>
      </c>
      <c r="B23" s="175" t="s">
        <v>86</v>
      </c>
      <c r="C23" s="176" t="e">
        <f t="shared" si="0"/>
        <v>#N/A</v>
      </c>
      <c r="D23" s="176" t="e">
        <f t="shared" si="1"/>
        <v>#N/A</v>
      </c>
      <c r="E23" s="177" t="e">
        <f t="shared" si="2"/>
        <v>#N/A</v>
      </c>
      <c r="H23" s="169">
        <v>14</v>
      </c>
      <c r="I23" s="175" t="s">
        <v>86</v>
      </c>
      <c r="J23" s="176" t="e">
        <f t="shared" si="3"/>
        <v>#N/A</v>
      </c>
      <c r="K23" s="176" t="e">
        <f t="shared" si="4"/>
        <v>#N/A</v>
      </c>
      <c r="L23" s="177" t="e">
        <f t="shared" si="5"/>
        <v>#N/A</v>
      </c>
    </row>
    <row r="24" spans="1:16" x14ac:dyDescent="0.35">
      <c r="A24" s="169">
        <v>15</v>
      </c>
      <c r="B24" s="175" t="s">
        <v>60</v>
      </c>
      <c r="C24" s="176" t="e">
        <f t="shared" si="0"/>
        <v>#N/A</v>
      </c>
      <c r="D24" s="176" t="e">
        <f t="shared" si="1"/>
        <v>#N/A</v>
      </c>
      <c r="E24" s="177" t="e">
        <f t="shared" si="2"/>
        <v>#N/A</v>
      </c>
      <c r="H24" s="169">
        <v>15</v>
      </c>
      <c r="I24" s="175" t="s">
        <v>60</v>
      </c>
      <c r="J24" s="176" t="e">
        <f t="shared" si="3"/>
        <v>#N/A</v>
      </c>
      <c r="K24" s="176" t="e">
        <f t="shared" si="4"/>
        <v>#N/A</v>
      </c>
      <c r="L24" s="177" t="e">
        <f t="shared" si="5"/>
        <v>#N/A</v>
      </c>
    </row>
    <row r="25" spans="1:16" x14ac:dyDescent="0.35">
      <c r="A25" s="169">
        <v>16</v>
      </c>
      <c r="B25" s="175" t="s">
        <v>75</v>
      </c>
      <c r="C25" s="176" t="e">
        <f t="shared" si="0"/>
        <v>#N/A</v>
      </c>
      <c r="D25" s="176" t="e">
        <f t="shared" si="1"/>
        <v>#N/A</v>
      </c>
      <c r="E25" s="177" t="e">
        <f t="shared" si="2"/>
        <v>#N/A</v>
      </c>
      <c r="H25" s="169">
        <v>16</v>
      </c>
      <c r="I25" s="175" t="s">
        <v>75</v>
      </c>
      <c r="J25" s="176" t="e">
        <f t="shared" si="3"/>
        <v>#N/A</v>
      </c>
      <c r="K25" s="176" t="e">
        <f t="shared" si="4"/>
        <v>#N/A</v>
      </c>
      <c r="L25" s="177" t="e">
        <f t="shared" si="5"/>
        <v>#N/A</v>
      </c>
    </row>
    <row r="26" spans="1:16" x14ac:dyDescent="0.35">
      <c r="A26" s="169">
        <v>17</v>
      </c>
      <c r="B26" s="175" t="s">
        <v>70</v>
      </c>
      <c r="C26" s="176" t="e">
        <f t="shared" si="0"/>
        <v>#N/A</v>
      </c>
      <c r="D26" s="176" t="e">
        <f t="shared" si="1"/>
        <v>#N/A</v>
      </c>
      <c r="E26" s="177" t="e">
        <f t="shared" si="2"/>
        <v>#N/A</v>
      </c>
      <c r="H26" s="169">
        <v>17</v>
      </c>
      <c r="I26" s="175" t="s">
        <v>70</v>
      </c>
      <c r="J26" s="176" t="e">
        <f t="shared" si="3"/>
        <v>#N/A</v>
      </c>
      <c r="K26" s="176" t="e">
        <f t="shared" si="4"/>
        <v>#N/A</v>
      </c>
      <c r="L26" s="177" t="e">
        <f t="shared" si="5"/>
        <v>#N/A</v>
      </c>
    </row>
    <row r="27" spans="1:16" x14ac:dyDescent="0.35">
      <c r="A27" s="170">
        <v>18</v>
      </c>
      <c r="B27" s="178" t="s">
        <v>87</v>
      </c>
      <c r="C27" s="179" t="e">
        <f t="shared" si="0"/>
        <v>#N/A</v>
      </c>
      <c r="D27" s="179" t="e">
        <f t="shared" si="1"/>
        <v>#N/A</v>
      </c>
      <c r="E27" s="180" t="e">
        <f t="shared" si="2"/>
        <v>#N/A</v>
      </c>
      <c r="H27" s="170">
        <v>18</v>
      </c>
      <c r="I27" s="178" t="s">
        <v>87</v>
      </c>
      <c r="J27" s="179" t="e">
        <f t="shared" si="3"/>
        <v>#N/A</v>
      </c>
      <c r="K27" s="179" t="e">
        <f t="shared" si="4"/>
        <v>#N/A</v>
      </c>
      <c r="L27" s="180" t="e">
        <f t="shared" si="5"/>
        <v>#N/A</v>
      </c>
    </row>
    <row r="31" spans="1:16" s="126" customFormat="1" ht="18.5" x14ac:dyDescent="0.45">
      <c r="B31" s="126" t="s">
        <v>134</v>
      </c>
    </row>
    <row r="32" spans="1:16" s="127" customFormat="1" ht="43.5" customHeight="1" x14ac:dyDescent="0.5">
      <c r="B32" s="128" t="s">
        <v>137</v>
      </c>
    </row>
    <row r="33" spans="1:13" x14ac:dyDescent="0.35">
      <c r="B33" s="54"/>
      <c r="C33" s="311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15" customHeight="1" x14ac:dyDescent="0.35">
      <c r="A34" s="50"/>
      <c r="B34" s="158" t="s">
        <v>98</v>
      </c>
      <c r="C34" s="50"/>
      <c r="D34" s="50"/>
      <c r="E34" s="50"/>
      <c r="F34" s="158"/>
      <c r="G34" s="158"/>
      <c r="H34" s="54"/>
      <c r="I34" s="158" t="s">
        <v>96</v>
      </c>
      <c r="J34" s="160"/>
      <c r="K34" s="161"/>
      <c r="L34" s="161"/>
      <c r="M34" s="161"/>
    </row>
    <row r="35" spans="1:13" x14ac:dyDescent="0.35">
      <c r="A35" s="168"/>
      <c r="B35" s="164"/>
      <c r="C35" s="164" t="s">
        <v>119</v>
      </c>
      <c r="D35" s="164" t="s">
        <v>120</v>
      </c>
      <c r="E35" s="164" t="s">
        <v>40</v>
      </c>
      <c r="F35" s="165" t="s">
        <v>226</v>
      </c>
      <c r="G35" s="158"/>
      <c r="H35" s="162"/>
      <c r="I35" s="163"/>
      <c r="J35" s="164" t="s">
        <v>119</v>
      </c>
      <c r="K35" s="164" t="s">
        <v>120</v>
      </c>
      <c r="L35" s="164" t="s">
        <v>40</v>
      </c>
      <c r="M35" s="165" t="s">
        <v>226</v>
      </c>
    </row>
    <row r="36" spans="1:13" x14ac:dyDescent="0.35">
      <c r="A36" s="169">
        <v>1</v>
      </c>
      <c r="B36" s="175" t="s">
        <v>195</v>
      </c>
      <c r="C36" s="176" t="e">
        <f t="shared" ref="C36:C53" si="6">IF(INDEX(Q4_Paeds,4+$A36,10)="No data",NA(),INDEX(Q4_Paeds,4+$A36,10))</f>
        <v>#N/A</v>
      </c>
      <c r="D36" s="176" t="e">
        <f t="shared" ref="D36:D53" si="7">IF(INDEX(Q4_Paeds,4+$A36,11)="No data",NA(),INDEX(Q4_Paeds,4+$A36,11))</f>
        <v>#N/A</v>
      </c>
      <c r="E36" s="176" t="e">
        <f t="shared" ref="E36:E53" si="8">IF(INDEX(Q4_Paeds,4+$A36,12)="No data",NA(),INDEX(Q4_Paeds,4+$A36,12))</f>
        <v>#N/A</v>
      </c>
      <c r="F36" s="166" t="e">
        <f t="shared" ref="F36:F53" si="9">SUM(C36:E36)</f>
        <v>#N/A</v>
      </c>
      <c r="G36" s="159"/>
      <c r="H36" s="169">
        <v>1</v>
      </c>
      <c r="I36" s="175" t="s">
        <v>195</v>
      </c>
      <c r="J36" s="176" t="e">
        <f t="shared" ref="J36:J53" si="10">IF(INDEX(Q4_Adult,4+$H36,10)="No data",NA(),INDEX(Q4_Adult,4+$H36,10))</f>
        <v>#N/A</v>
      </c>
      <c r="K36" s="176" t="e">
        <f t="shared" ref="K36:K53" si="11">IF(INDEX(Q4_Adult,4+$H36,11)="No data",NA(),INDEX(Q4_Adult,4+$H36,11))</f>
        <v>#N/A</v>
      </c>
      <c r="L36" s="176" t="e">
        <f t="shared" ref="L36:L53" si="12">IF(INDEX(Q4_Adult,4+$H36,12)="No data",NA(),INDEX(Q4_Adult,4+$H36,12))</f>
        <v>#N/A</v>
      </c>
      <c r="M36" s="166" t="e">
        <f t="shared" ref="M36:M53" si="13">SUM(J36:L36)</f>
        <v>#N/A</v>
      </c>
    </row>
    <row r="37" spans="1:13" x14ac:dyDescent="0.35">
      <c r="A37" s="169">
        <v>2</v>
      </c>
      <c r="B37" s="175" t="s">
        <v>196</v>
      </c>
      <c r="C37" s="176" t="e">
        <f t="shared" si="6"/>
        <v>#N/A</v>
      </c>
      <c r="D37" s="176" t="e">
        <f t="shared" si="7"/>
        <v>#N/A</v>
      </c>
      <c r="E37" s="176" t="e">
        <f t="shared" si="8"/>
        <v>#N/A</v>
      </c>
      <c r="F37" s="166" t="e">
        <f t="shared" si="9"/>
        <v>#N/A</v>
      </c>
      <c r="G37" s="159"/>
      <c r="H37" s="169">
        <v>2</v>
      </c>
      <c r="I37" s="175" t="s">
        <v>196</v>
      </c>
      <c r="J37" s="176" t="e">
        <f t="shared" si="10"/>
        <v>#N/A</v>
      </c>
      <c r="K37" s="176" t="e">
        <f t="shared" si="11"/>
        <v>#N/A</v>
      </c>
      <c r="L37" s="176" t="e">
        <f t="shared" si="12"/>
        <v>#N/A</v>
      </c>
      <c r="M37" s="166" t="e">
        <f t="shared" si="13"/>
        <v>#N/A</v>
      </c>
    </row>
    <row r="38" spans="1:13" x14ac:dyDescent="0.35">
      <c r="A38" s="169">
        <v>3</v>
      </c>
      <c r="B38" s="175" t="s">
        <v>197</v>
      </c>
      <c r="C38" s="176" t="e">
        <f t="shared" si="6"/>
        <v>#N/A</v>
      </c>
      <c r="D38" s="176" t="e">
        <f t="shared" si="7"/>
        <v>#N/A</v>
      </c>
      <c r="E38" s="176" t="e">
        <f t="shared" si="8"/>
        <v>#N/A</v>
      </c>
      <c r="F38" s="166" t="e">
        <f t="shared" si="9"/>
        <v>#N/A</v>
      </c>
      <c r="G38" s="159"/>
      <c r="H38" s="169">
        <v>3</v>
      </c>
      <c r="I38" s="175" t="s">
        <v>197</v>
      </c>
      <c r="J38" s="176" t="e">
        <f t="shared" si="10"/>
        <v>#N/A</v>
      </c>
      <c r="K38" s="176" t="e">
        <f t="shared" si="11"/>
        <v>#N/A</v>
      </c>
      <c r="L38" s="176" t="e">
        <f t="shared" si="12"/>
        <v>#N/A</v>
      </c>
      <c r="M38" s="166" t="e">
        <f t="shared" si="13"/>
        <v>#N/A</v>
      </c>
    </row>
    <row r="39" spans="1:13" x14ac:dyDescent="0.35">
      <c r="A39" s="169">
        <v>4</v>
      </c>
      <c r="B39" s="175" t="s">
        <v>198</v>
      </c>
      <c r="C39" s="176" t="e">
        <f t="shared" si="6"/>
        <v>#N/A</v>
      </c>
      <c r="D39" s="176" t="e">
        <f t="shared" si="7"/>
        <v>#N/A</v>
      </c>
      <c r="E39" s="176" t="e">
        <f t="shared" si="8"/>
        <v>#N/A</v>
      </c>
      <c r="F39" s="166" t="e">
        <f t="shared" si="9"/>
        <v>#N/A</v>
      </c>
      <c r="G39" s="159"/>
      <c r="H39" s="169">
        <v>4</v>
      </c>
      <c r="I39" s="175" t="s">
        <v>198</v>
      </c>
      <c r="J39" s="176" t="e">
        <f t="shared" si="10"/>
        <v>#N/A</v>
      </c>
      <c r="K39" s="176" t="e">
        <f t="shared" si="11"/>
        <v>#N/A</v>
      </c>
      <c r="L39" s="176" t="e">
        <f t="shared" si="12"/>
        <v>#N/A</v>
      </c>
      <c r="M39" s="166" t="e">
        <f t="shared" si="13"/>
        <v>#N/A</v>
      </c>
    </row>
    <row r="40" spans="1:13" x14ac:dyDescent="0.35">
      <c r="A40" s="169">
        <v>5</v>
      </c>
      <c r="B40" s="175" t="s">
        <v>199</v>
      </c>
      <c r="C40" s="176" t="e">
        <f t="shared" si="6"/>
        <v>#N/A</v>
      </c>
      <c r="D40" s="176" t="e">
        <f t="shared" si="7"/>
        <v>#N/A</v>
      </c>
      <c r="E40" s="176" t="e">
        <f t="shared" si="8"/>
        <v>#N/A</v>
      </c>
      <c r="F40" s="166" t="e">
        <f t="shared" si="9"/>
        <v>#N/A</v>
      </c>
      <c r="G40" s="159"/>
      <c r="H40" s="169">
        <v>5</v>
      </c>
      <c r="I40" s="175" t="s">
        <v>199</v>
      </c>
      <c r="J40" s="176" t="e">
        <f t="shared" si="10"/>
        <v>#N/A</v>
      </c>
      <c r="K40" s="176" t="e">
        <f t="shared" si="11"/>
        <v>#N/A</v>
      </c>
      <c r="L40" s="176" t="e">
        <f t="shared" si="12"/>
        <v>#N/A</v>
      </c>
      <c r="M40" s="166" t="e">
        <f t="shared" si="13"/>
        <v>#N/A</v>
      </c>
    </row>
    <row r="41" spans="1:13" x14ac:dyDescent="0.35">
      <c r="A41" s="169">
        <v>6</v>
      </c>
      <c r="B41" s="175" t="s">
        <v>202</v>
      </c>
      <c r="C41" s="176" t="e">
        <f t="shared" si="6"/>
        <v>#N/A</v>
      </c>
      <c r="D41" s="176" t="e">
        <f t="shared" si="7"/>
        <v>#N/A</v>
      </c>
      <c r="E41" s="176" t="e">
        <f t="shared" si="8"/>
        <v>#N/A</v>
      </c>
      <c r="F41" s="166" t="e">
        <f t="shared" si="9"/>
        <v>#N/A</v>
      </c>
      <c r="G41" s="159"/>
      <c r="H41" s="169">
        <v>6</v>
      </c>
      <c r="I41" s="175" t="s">
        <v>202</v>
      </c>
      <c r="J41" s="176" t="e">
        <f t="shared" si="10"/>
        <v>#N/A</v>
      </c>
      <c r="K41" s="176" t="e">
        <f t="shared" si="11"/>
        <v>#N/A</v>
      </c>
      <c r="L41" s="176" t="e">
        <f t="shared" si="12"/>
        <v>#N/A</v>
      </c>
      <c r="M41" s="166" t="e">
        <f t="shared" si="13"/>
        <v>#N/A</v>
      </c>
    </row>
    <row r="42" spans="1:13" x14ac:dyDescent="0.35">
      <c r="A42" s="169">
        <v>7</v>
      </c>
      <c r="B42" s="175" t="s">
        <v>203</v>
      </c>
      <c r="C42" s="176" t="e">
        <f t="shared" si="6"/>
        <v>#N/A</v>
      </c>
      <c r="D42" s="176" t="e">
        <f t="shared" si="7"/>
        <v>#N/A</v>
      </c>
      <c r="E42" s="176" t="e">
        <f t="shared" si="8"/>
        <v>#N/A</v>
      </c>
      <c r="F42" s="166" t="e">
        <f t="shared" si="9"/>
        <v>#N/A</v>
      </c>
      <c r="G42" s="159"/>
      <c r="H42" s="169">
        <v>7</v>
      </c>
      <c r="I42" s="175" t="s">
        <v>203</v>
      </c>
      <c r="J42" s="176" t="e">
        <f t="shared" si="10"/>
        <v>#N/A</v>
      </c>
      <c r="K42" s="176" t="e">
        <f t="shared" si="11"/>
        <v>#N/A</v>
      </c>
      <c r="L42" s="176" t="e">
        <f t="shared" si="12"/>
        <v>#N/A</v>
      </c>
      <c r="M42" s="166" t="e">
        <f t="shared" si="13"/>
        <v>#N/A</v>
      </c>
    </row>
    <row r="43" spans="1:13" x14ac:dyDescent="0.35">
      <c r="A43" s="169">
        <v>8</v>
      </c>
      <c r="B43" s="175" t="s">
        <v>200</v>
      </c>
      <c r="C43" s="176" t="e">
        <f t="shared" si="6"/>
        <v>#N/A</v>
      </c>
      <c r="D43" s="176" t="e">
        <f t="shared" si="7"/>
        <v>#N/A</v>
      </c>
      <c r="E43" s="176" t="e">
        <f t="shared" si="8"/>
        <v>#N/A</v>
      </c>
      <c r="F43" s="166" t="e">
        <f t="shared" si="9"/>
        <v>#N/A</v>
      </c>
      <c r="G43" s="159"/>
      <c r="H43" s="169">
        <v>8</v>
      </c>
      <c r="I43" s="175" t="s">
        <v>200</v>
      </c>
      <c r="J43" s="176" t="e">
        <f t="shared" si="10"/>
        <v>#N/A</v>
      </c>
      <c r="K43" s="176" t="e">
        <f t="shared" si="11"/>
        <v>#N/A</v>
      </c>
      <c r="L43" s="176" t="e">
        <f t="shared" si="12"/>
        <v>#N/A</v>
      </c>
      <c r="M43" s="166" t="e">
        <f t="shared" si="13"/>
        <v>#N/A</v>
      </c>
    </row>
    <row r="44" spans="1:13" x14ac:dyDescent="0.35">
      <c r="A44" s="169">
        <v>9</v>
      </c>
      <c r="B44" s="175" t="s">
        <v>82</v>
      </c>
      <c r="C44" s="176" t="e">
        <f t="shared" si="6"/>
        <v>#N/A</v>
      </c>
      <c r="D44" s="176" t="e">
        <f t="shared" si="7"/>
        <v>#N/A</v>
      </c>
      <c r="E44" s="176" t="e">
        <f t="shared" si="8"/>
        <v>#N/A</v>
      </c>
      <c r="F44" s="166" t="e">
        <f t="shared" si="9"/>
        <v>#N/A</v>
      </c>
      <c r="G44" s="159"/>
      <c r="H44" s="169">
        <v>9</v>
      </c>
      <c r="I44" s="175" t="s">
        <v>82</v>
      </c>
      <c r="J44" s="176" t="e">
        <f t="shared" si="10"/>
        <v>#N/A</v>
      </c>
      <c r="K44" s="176" t="e">
        <f t="shared" si="11"/>
        <v>#N/A</v>
      </c>
      <c r="L44" s="176" t="e">
        <f t="shared" si="12"/>
        <v>#N/A</v>
      </c>
      <c r="M44" s="166" t="e">
        <f t="shared" si="13"/>
        <v>#N/A</v>
      </c>
    </row>
    <row r="45" spans="1:13" x14ac:dyDescent="0.35">
      <c r="A45" s="169">
        <v>10</v>
      </c>
      <c r="B45" s="175" t="s">
        <v>83</v>
      </c>
      <c r="C45" s="176" t="e">
        <f t="shared" si="6"/>
        <v>#N/A</v>
      </c>
      <c r="D45" s="176" t="e">
        <f t="shared" si="7"/>
        <v>#N/A</v>
      </c>
      <c r="E45" s="176" t="e">
        <f t="shared" si="8"/>
        <v>#N/A</v>
      </c>
      <c r="F45" s="166" t="e">
        <f t="shared" si="9"/>
        <v>#N/A</v>
      </c>
      <c r="G45" s="159"/>
      <c r="H45" s="169">
        <v>10</v>
      </c>
      <c r="I45" s="175" t="s">
        <v>83</v>
      </c>
      <c r="J45" s="176" t="e">
        <f t="shared" si="10"/>
        <v>#N/A</v>
      </c>
      <c r="K45" s="176" t="e">
        <f t="shared" si="11"/>
        <v>#N/A</v>
      </c>
      <c r="L45" s="176" t="e">
        <f t="shared" si="12"/>
        <v>#N/A</v>
      </c>
      <c r="M45" s="166" t="e">
        <f t="shared" si="13"/>
        <v>#N/A</v>
      </c>
    </row>
    <row r="46" spans="1:13" x14ac:dyDescent="0.35">
      <c r="A46" s="169">
        <v>11</v>
      </c>
      <c r="B46" s="175" t="s">
        <v>201</v>
      </c>
      <c r="C46" s="176" t="e">
        <f t="shared" si="6"/>
        <v>#N/A</v>
      </c>
      <c r="D46" s="176" t="e">
        <f t="shared" si="7"/>
        <v>#N/A</v>
      </c>
      <c r="E46" s="176" t="e">
        <f t="shared" si="8"/>
        <v>#N/A</v>
      </c>
      <c r="F46" s="166" t="e">
        <f t="shared" si="9"/>
        <v>#N/A</v>
      </c>
      <c r="G46" s="159"/>
      <c r="H46" s="169">
        <v>11</v>
      </c>
      <c r="I46" s="175" t="s">
        <v>201</v>
      </c>
      <c r="J46" s="176" t="e">
        <f t="shared" si="10"/>
        <v>#N/A</v>
      </c>
      <c r="K46" s="176" t="e">
        <f t="shared" si="11"/>
        <v>#N/A</v>
      </c>
      <c r="L46" s="176" t="e">
        <f t="shared" si="12"/>
        <v>#N/A</v>
      </c>
      <c r="M46" s="166" t="e">
        <f t="shared" si="13"/>
        <v>#N/A</v>
      </c>
    </row>
    <row r="47" spans="1:13" x14ac:dyDescent="0.35">
      <c r="A47" s="169">
        <v>12</v>
      </c>
      <c r="B47" s="175" t="s">
        <v>84</v>
      </c>
      <c r="C47" s="176" t="e">
        <f t="shared" si="6"/>
        <v>#N/A</v>
      </c>
      <c r="D47" s="176" t="e">
        <f t="shared" si="7"/>
        <v>#N/A</v>
      </c>
      <c r="E47" s="176" t="e">
        <f t="shared" si="8"/>
        <v>#N/A</v>
      </c>
      <c r="F47" s="166" t="e">
        <f t="shared" si="9"/>
        <v>#N/A</v>
      </c>
      <c r="G47" s="159"/>
      <c r="H47" s="169">
        <v>12</v>
      </c>
      <c r="I47" s="175" t="s">
        <v>84</v>
      </c>
      <c r="J47" s="176" t="e">
        <f t="shared" si="10"/>
        <v>#N/A</v>
      </c>
      <c r="K47" s="176" t="e">
        <f t="shared" si="11"/>
        <v>#N/A</v>
      </c>
      <c r="L47" s="176" t="e">
        <f t="shared" si="12"/>
        <v>#N/A</v>
      </c>
      <c r="M47" s="166" t="e">
        <f t="shared" si="13"/>
        <v>#N/A</v>
      </c>
    </row>
    <row r="48" spans="1:13" x14ac:dyDescent="0.35">
      <c r="A48" s="169">
        <v>13</v>
      </c>
      <c r="B48" s="175" t="s">
        <v>74</v>
      </c>
      <c r="C48" s="176" t="e">
        <f t="shared" si="6"/>
        <v>#N/A</v>
      </c>
      <c r="D48" s="176" t="e">
        <f t="shared" si="7"/>
        <v>#N/A</v>
      </c>
      <c r="E48" s="176" t="e">
        <f t="shared" si="8"/>
        <v>#N/A</v>
      </c>
      <c r="F48" s="166" t="e">
        <f t="shared" si="9"/>
        <v>#N/A</v>
      </c>
      <c r="G48" s="159"/>
      <c r="H48" s="169">
        <v>13</v>
      </c>
      <c r="I48" s="175" t="s">
        <v>74</v>
      </c>
      <c r="J48" s="176" t="e">
        <f t="shared" si="10"/>
        <v>#N/A</v>
      </c>
      <c r="K48" s="176" t="e">
        <f t="shared" si="11"/>
        <v>#N/A</v>
      </c>
      <c r="L48" s="176" t="e">
        <f t="shared" si="12"/>
        <v>#N/A</v>
      </c>
      <c r="M48" s="166" t="e">
        <f t="shared" si="13"/>
        <v>#N/A</v>
      </c>
    </row>
    <row r="49" spans="1:13" x14ac:dyDescent="0.35">
      <c r="A49" s="169">
        <v>14</v>
      </c>
      <c r="B49" s="175" t="s">
        <v>86</v>
      </c>
      <c r="C49" s="176" t="e">
        <f t="shared" si="6"/>
        <v>#N/A</v>
      </c>
      <c r="D49" s="176" t="e">
        <f t="shared" si="7"/>
        <v>#N/A</v>
      </c>
      <c r="E49" s="176" t="e">
        <f t="shared" si="8"/>
        <v>#N/A</v>
      </c>
      <c r="F49" s="166" t="e">
        <f t="shared" si="9"/>
        <v>#N/A</v>
      </c>
      <c r="G49" s="159"/>
      <c r="H49" s="169">
        <v>14</v>
      </c>
      <c r="I49" s="175" t="s">
        <v>86</v>
      </c>
      <c r="J49" s="176" t="e">
        <f t="shared" si="10"/>
        <v>#N/A</v>
      </c>
      <c r="K49" s="176" t="e">
        <f t="shared" si="11"/>
        <v>#N/A</v>
      </c>
      <c r="L49" s="176" t="e">
        <f t="shared" si="12"/>
        <v>#N/A</v>
      </c>
      <c r="M49" s="166" t="e">
        <f t="shared" si="13"/>
        <v>#N/A</v>
      </c>
    </row>
    <row r="50" spans="1:13" x14ac:dyDescent="0.35">
      <c r="A50" s="169">
        <v>15</v>
      </c>
      <c r="B50" s="175" t="s">
        <v>60</v>
      </c>
      <c r="C50" s="176" t="e">
        <f t="shared" si="6"/>
        <v>#N/A</v>
      </c>
      <c r="D50" s="176" t="e">
        <f t="shared" si="7"/>
        <v>#N/A</v>
      </c>
      <c r="E50" s="176" t="e">
        <f t="shared" si="8"/>
        <v>#N/A</v>
      </c>
      <c r="F50" s="166" t="e">
        <f t="shared" si="9"/>
        <v>#N/A</v>
      </c>
      <c r="G50" s="159"/>
      <c r="H50" s="169">
        <v>15</v>
      </c>
      <c r="I50" s="175" t="s">
        <v>60</v>
      </c>
      <c r="J50" s="176" t="e">
        <f t="shared" si="10"/>
        <v>#N/A</v>
      </c>
      <c r="K50" s="176" t="e">
        <f t="shared" si="11"/>
        <v>#N/A</v>
      </c>
      <c r="L50" s="176" t="e">
        <f t="shared" si="12"/>
        <v>#N/A</v>
      </c>
      <c r="M50" s="166" t="e">
        <f t="shared" si="13"/>
        <v>#N/A</v>
      </c>
    </row>
    <row r="51" spans="1:13" x14ac:dyDescent="0.35">
      <c r="A51" s="169">
        <v>16</v>
      </c>
      <c r="B51" s="175" t="s">
        <v>75</v>
      </c>
      <c r="C51" s="176" t="e">
        <f t="shared" si="6"/>
        <v>#N/A</v>
      </c>
      <c r="D51" s="176" t="e">
        <f t="shared" si="7"/>
        <v>#N/A</v>
      </c>
      <c r="E51" s="176" t="e">
        <f t="shared" si="8"/>
        <v>#N/A</v>
      </c>
      <c r="F51" s="166" t="e">
        <f t="shared" si="9"/>
        <v>#N/A</v>
      </c>
      <c r="G51" s="159"/>
      <c r="H51" s="169">
        <v>16</v>
      </c>
      <c r="I51" s="175" t="s">
        <v>75</v>
      </c>
      <c r="J51" s="176" t="e">
        <f t="shared" si="10"/>
        <v>#N/A</v>
      </c>
      <c r="K51" s="176" t="e">
        <f t="shared" si="11"/>
        <v>#N/A</v>
      </c>
      <c r="L51" s="176" t="e">
        <f t="shared" si="12"/>
        <v>#N/A</v>
      </c>
      <c r="M51" s="166" t="e">
        <f t="shared" si="13"/>
        <v>#N/A</v>
      </c>
    </row>
    <row r="52" spans="1:13" x14ac:dyDescent="0.35">
      <c r="A52" s="169">
        <v>17</v>
      </c>
      <c r="B52" s="175" t="s">
        <v>70</v>
      </c>
      <c r="C52" s="176" t="e">
        <f t="shared" si="6"/>
        <v>#N/A</v>
      </c>
      <c r="D52" s="176" t="e">
        <f t="shared" si="7"/>
        <v>#N/A</v>
      </c>
      <c r="E52" s="176" t="e">
        <f t="shared" si="8"/>
        <v>#N/A</v>
      </c>
      <c r="F52" s="166" t="e">
        <f t="shared" si="9"/>
        <v>#N/A</v>
      </c>
      <c r="G52" s="159"/>
      <c r="H52" s="169">
        <v>17</v>
      </c>
      <c r="I52" s="175" t="s">
        <v>70</v>
      </c>
      <c r="J52" s="176" t="e">
        <f t="shared" si="10"/>
        <v>#N/A</v>
      </c>
      <c r="K52" s="176" t="e">
        <f t="shared" si="11"/>
        <v>#N/A</v>
      </c>
      <c r="L52" s="176" t="e">
        <f t="shared" si="12"/>
        <v>#N/A</v>
      </c>
      <c r="M52" s="166" t="e">
        <f t="shared" si="13"/>
        <v>#N/A</v>
      </c>
    </row>
    <row r="53" spans="1:13" x14ac:dyDescent="0.35">
      <c r="A53" s="170">
        <v>18</v>
      </c>
      <c r="B53" s="178" t="s">
        <v>87</v>
      </c>
      <c r="C53" s="179" t="e">
        <f t="shared" si="6"/>
        <v>#N/A</v>
      </c>
      <c r="D53" s="179" t="e">
        <f t="shared" si="7"/>
        <v>#N/A</v>
      </c>
      <c r="E53" s="179" t="e">
        <f t="shared" si="8"/>
        <v>#N/A</v>
      </c>
      <c r="F53" s="167" t="e">
        <f t="shared" si="9"/>
        <v>#N/A</v>
      </c>
      <c r="G53" s="159"/>
      <c r="H53" s="170">
        <v>18</v>
      </c>
      <c r="I53" s="178" t="s">
        <v>87</v>
      </c>
      <c r="J53" s="179" t="e">
        <f t="shared" si="10"/>
        <v>#N/A</v>
      </c>
      <c r="K53" s="179" t="e">
        <f t="shared" si="11"/>
        <v>#N/A</v>
      </c>
      <c r="L53" s="179" t="e">
        <f t="shared" si="12"/>
        <v>#N/A</v>
      </c>
      <c r="M53" s="167" t="e">
        <f t="shared" si="13"/>
        <v>#N/A</v>
      </c>
    </row>
    <row r="54" spans="1:13" x14ac:dyDescent="0.35">
      <c r="A54" s="159"/>
    </row>
    <row r="55" spans="1:13" s="50" customFormat="1" x14ac:dyDescent="0.35">
      <c r="B55" s="92"/>
      <c r="C55" s="68"/>
      <c r="D55" s="68"/>
      <c r="E55" s="93"/>
      <c r="F55" s="68"/>
    </row>
    <row r="56" spans="1:13" x14ac:dyDescent="0.35">
      <c r="B56" s="275" t="s">
        <v>99</v>
      </c>
      <c r="H56" s="158" t="s">
        <v>97</v>
      </c>
      <c r="I56" s="311"/>
      <c r="J56" s="54"/>
      <c r="K56" s="54"/>
      <c r="L56" s="54"/>
    </row>
    <row r="57" spans="1:13" x14ac:dyDescent="0.35">
      <c r="A57" s="168"/>
      <c r="B57" s="276"/>
      <c r="C57" s="164" t="s">
        <v>119</v>
      </c>
      <c r="D57" s="164" t="s">
        <v>120</v>
      </c>
      <c r="E57" s="164" t="s">
        <v>40</v>
      </c>
      <c r="F57" s="165" t="s">
        <v>226</v>
      </c>
      <c r="G57" s="182"/>
      <c r="H57" s="162"/>
      <c r="I57" s="163"/>
      <c r="J57" s="164" t="s">
        <v>119</v>
      </c>
      <c r="K57" s="164" t="s">
        <v>120</v>
      </c>
      <c r="L57" s="164" t="s">
        <v>40</v>
      </c>
      <c r="M57" s="165" t="s">
        <v>226</v>
      </c>
    </row>
    <row r="58" spans="1:13" x14ac:dyDescent="0.35">
      <c r="A58" s="169">
        <v>1</v>
      </c>
      <c r="B58" s="175" t="s">
        <v>195</v>
      </c>
      <c r="C58" s="171" t="e">
        <f t="shared" ref="C58:C75" si="14">IF(INDEX(Q4_Paeds,4+$A58,16)="No data",NA(),INDEX(Q4_Paeds,4+$A58,16))</f>
        <v>#N/A</v>
      </c>
      <c r="D58" s="171" t="e">
        <f t="shared" ref="D58:D75" si="15">IF(INDEX(Q4_Paeds,4+$A58,17)="No data",NA(),INDEX(Q4_Paeds,4+$A58,17))</f>
        <v>#N/A</v>
      </c>
      <c r="E58" s="171" t="e">
        <f t="shared" ref="E58:E75" si="16">IF(INDEX(Q4_Paeds,4+$A58,18)="No data",NA(),INDEX(Q4_Paeds,4+$A58,18))</f>
        <v>#N/A</v>
      </c>
      <c r="F58" s="166" t="e">
        <f t="shared" ref="F58:F75" si="17">SUM(C58:E58)</f>
        <v>#N/A</v>
      </c>
      <c r="G58" s="183"/>
      <c r="H58" s="169">
        <v>1</v>
      </c>
      <c r="I58" s="175" t="s">
        <v>195</v>
      </c>
      <c r="J58" s="176" t="e">
        <f t="shared" ref="J58:J75" si="18">IF(INDEX(Q4_Adult,4+$H58,16)="No data",NA(),INDEX(Q4_Adult,4+$H58,16))</f>
        <v>#N/A</v>
      </c>
      <c r="K58" s="176" t="e">
        <f t="shared" ref="K58:K75" si="19">IF(INDEX(Q4_Adult,4+$H58,17)="No data",NA(),INDEX(Q4_Adult,4+$H58,17))</f>
        <v>#N/A</v>
      </c>
      <c r="L58" s="176" t="e">
        <f t="shared" ref="L58:L75" si="20">IF(INDEX(Q4_Adult,4+$H58,18)="No data",NA(),INDEX(Q4_Adult,4+$H58,18))</f>
        <v>#N/A</v>
      </c>
      <c r="M58" s="166" t="e">
        <f t="shared" ref="M58:M75" si="21">SUM(J58:L58)</f>
        <v>#N/A</v>
      </c>
    </row>
    <row r="59" spans="1:13" x14ac:dyDescent="0.35">
      <c r="A59" s="169">
        <v>2</v>
      </c>
      <c r="B59" s="175" t="s">
        <v>196</v>
      </c>
      <c r="C59" s="171" t="e">
        <f t="shared" si="14"/>
        <v>#N/A</v>
      </c>
      <c r="D59" s="171" t="e">
        <f t="shared" si="15"/>
        <v>#N/A</v>
      </c>
      <c r="E59" s="171" t="e">
        <f t="shared" si="16"/>
        <v>#N/A</v>
      </c>
      <c r="F59" s="166" t="e">
        <f t="shared" si="17"/>
        <v>#N/A</v>
      </c>
      <c r="G59" s="183"/>
      <c r="H59" s="169">
        <v>2</v>
      </c>
      <c r="I59" s="175" t="s">
        <v>196</v>
      </c>
      <c r="J59" s="176" t="e">
        <f t="shared" si="18"/>
        <v>#N/A</v>
      </c>
      <c r="K59" s="176" t="e">
        <f t="shared" si="19"/>
        <v>#N/A</v>
      </c>
      <c r="L59" s="176" t="e">
        <f t="shared" si="20"/>
        <v>#N/A</v>
      </c>
      <c r="M59" s="166" t="e">
        <f t="shared" si="21"/>
        <v>#N/A</v>
      </c>
    </row>
    <row r="60" spans="1:13" x14ac:dyDescent="0.35">
      <c r="A60" s="169">
        <v>3</v>
      </c>
      <c r="B60" s="175" t="s">
        <v>197</v>
      </c>
      <c r="C60" s="171" t="e">
        <f t="shared" si="14"/>
        <v>#N/A</v>
      </c>
      <c r="D60" s="171" t="e">
        <f t="shared" si="15"/>
        <v>#N/A</v>
      </c>
      <c r="E60" s="171" t="e">
        <f t="shared" si="16"/>
        <v>#N/A</v>
      </c>
      <c r="F60" s="166" t="e">
        <f t="shared" si="17"/>
        <v>#N/A</v>
      </c>
      <c r="G60" s="183"/>
      <c r="H60" s="169">
        <v>3</v>
      </c>
      <c r="I60" s="175" t="s">
        <v>197</v>
      </c>
      <c r="J60" s="176" t="e">
        <f t="shared" si="18"/>
        <v>#N/A</v>
      </c>
      <c r="K60" s="176" t="e">
        <f t="shared" si="19"/>
        <v>#N/A</v>
      </c>
      <c r="L60" s="176" t="e">
        <f t="shared" si="20"/>
        <v>#N/A</v>
      </c>
      <c r="M60" s="166" t="e">
        <f t="shared" si="21"/>
        <v>#N/A</v>
      </c>
    </row>
    <row r="61" spans="1:13" x14ac:dyDescent="0.35">
      <c r="A61" s="169">
        <v>4</v>
      </c>
      <c r="B61" s="175" t="s">
        <v>198</v>
      </c>
      <c r="C61" s="171" t="e">
        <f t="shared" si="14"/>
        <v>#N/A</v>
      </c>
      <c r="D61" s="171" t="e">
        <f t="shared" si="15"/>
        <v>#N/A</v>
      </c>
      <c r="E61" s="171" t="e">
        <f t="shared" si="16"/>
        <v>#N/A</v>
      </c>
      <c r="F61" s="166" t="e">
        <f t="shared" si="17"/>
        <v>#N/A</v>
      </c>
      <c r="G61" s="183"/>
      <c r="H61" s="169">
        <v>4</v>
      </c>
      <c r="I61" s="175" t="s">
        <v>198</v>
      </c>
      <c r="J61" s="176" t="e">
        <f t="shared" si="18"/>
        <v>#N/A</v>
      </c>
      <c r="K61" s="176" t="e">
        <f t="shared" si="19"/>
        <v>#N/A</v>
      </c>
      <c r="L61" s="176" t="e">
        <f t="shared" si="20"/>
        <v>#N/A</v>
      </c>
      <c r="M61" s="166" t="e">
        <f t="shared" si="21"/>
        <v>#N/A</v>
      </c>
    </row>
    <row r="62" spans="1:13" x14ac:dyDescent="0.35">
      <c r="A62" s="169">
        <v>5</v>
      </c>
      <c r="B62" s="175" t="s">
        <v>199</v>
      </c>
      <c r="C62" s="171" t="e">
        <f t="shared" si="14"/>
        <v>#N/A</v>
      </c>
      <c r="D62" s="171" t="e">
        <f t="shared" si="15"/>
        <v>#N/A</v>
      </c>
      <c r="E62" s="171" t="e">
        <f t="shared" si="16"/>
        <v>#N/A</v>
      </c>
      <c r="F62" s="166" t="e">
        <f t="shared" si="17"/>
        <v>#N/A</v>
      </c>
      <c r="G62" s="183"/>
      <c r="H62" s="169">
        <v>5</v>
      </c>
      <c r="I62" s="175" t="s">
        <v>199</v>
      </c>
      <c r="J62" s="176" t="e">
        <f t="shared" si="18"/>
        <v>#N/A</v>
      </c>
      <c r="K62" s="176" t="e">
        <f t="shared" si="19"/>
        <v>#N/A</v>
      </c>
      <c r="L62" s="176" t="e">
        <f t="shared" si="20"/>
        <v>#N/A</v>
      </c>
      <c r="M62" s="166" t="e">
        <f t="shared" si="21"/>
        <v>#N/A</v>
      </c>
    </row>
    <row r="63" spans="1:13" x14ac:dyDescent="0.35">
      <c r="A63" s="169">
        <v>6</v>
      </c>
      <c r="B63" s="175" t="s">
        <v>202</v>
      </c>
      <c r="C63" s="171" t="e">
        <f t="shared" si="14"/>
        <v>#N/A</v>
      </c>
      <c r="D63" s="171" t="e">
        <f t="shared" si="15"/>
        <v>#N/A</v>
      </c>
      <c r="E63" s="171" t="e">
        <f t="shared" si="16"/>
        <v>#N/A</v>
      </c>
      <c r="F63" s="166" t="e">
        <f t="shared" si="17"/>
        <v>#N/A</v>
      </c>
      <c r="G63" s="183"/>
      <c r="H63" s="169">
        <v>6</v>
      </c>
      <c r="I63" s="175" t="s">
        <v>202</v>
      </c>
      <c r="J63" s="176" t="e">
        <f t="shared" si="18"/>
        <v>#N/A</v>
      </c>
      <c r="K63" s="176" t="e">
        <f t="shared" si="19"/>
        <v>#N/A</v>
      </c>
      <c r="L63" s="176" t="e">
        <f t="shared" si="20"/>
        <v>#N/A</v>
      </c>
      <c r="M63" s="166" t="e">
        <f t="shared" si="21"/>
        <v>#N/A</v>
      </c>
    </row>
    <row r="64" spans="1:13" x14ac:dyDescent="0.35">
      <c r="A64" s="169">
        <v>7</v>
      </c>
      <c r="B64" s="175" t="s">
        <v>203</v>
      </c>
      <c r="C64" s="171" t="e">
        <f t="shared" si="14"/>
        <v>#N/A</v>
      </c>
      <c r="D64" s="171" t="e">
        <f t="shared" si="15"/>
        <v>#N/A</v>
      </c>
      <c r="E64" s="171" t="e">
        <f t="shared" si="16"/>
        <v>#N/A</v>
      </c>
      <c r="F64" s="166" t="e">
        <f t="shared" si="17"/>
        <v>#N/A</v>
      </c>
      <c r="G64" s="183"/>
      <c r="H64" s="169">
        <v>7</v>
      </c>
      <c r="I64" s="175" t="s">
        <v>203</v>
      </c>
      <c r="J64" s="176" t="e">
        <f t="shared" si="18"/>
        <v>#N/A</v>
      </c>
      <c r="K64" s="176" t="e">
        <f t="shared" si="19"/>
        <v>#N/A</v>
      </c>
      <c r="L64" s="176" t="e">
        <f t="shared" si="20"/>
        <v>#N/A</v>
      </c>
      <c r="M64" s="166" t="e">
        <f t="shared" si="21"/>
        <v>#N/A</v>
      </c>
    </row>
    <row r="65" spans="1:15" x14ac:dyDescent="0.35">
      <c r="A65" s="169">
        <v>8</v>
      </c>
      <c r="B65" s="175" t="s">
        <v>200</v>
      </c>
      <c r="C65" s="171" t="e">
        <f t="shared" si="14"/>
        <v>#N/A</v>
      </c>
      <c r="D65" s="171" t="e">
        <f t="shared" si="15"/>
        <v>#N/A</v>
      </c>
      <c r="E65" s="171" t="e">
        <f t="shared" si="16"/>
        <v>#N/A</v>
      </c>
      <c r="F65" s="166" t="e">
        <f t="shared" si="17"/>
        <v>#N/A</v>
      </c>
      <c r="G65" s="183"/>
      <c r="H65" s="169">
        <v>8</v>
      </c>
      <c r="I65" s="175" t="s">
        <v>200</v>
      </c>
      <c r="J65" s="176" t="e">
        <f t="shared" si="18"/>
        <v>#N/A</v>
      </c>
      <c r="K65" s="176" t="e">
        <f t="shared" si="19"/>
        <v>#N/A</v>
      </c>
      <c r="L65" s="176" t="e">
        <f t="shared" si="20"/>
        <v>#N/A</v>
      </c>
      <c r="M65" s="166" t="e">
        <f t="shared" si="21"/>
        <v>#N/A</v>
      </c>
    </row>
    <row r="66" spans="1:15" x14ac:dyDescent="0.35">
      <c r="A66" s="169">
        <v>9</v>
      </c>
      <c r="B66" s="175" t="s">
        <v>82</v>
      </c>
      <c r="C66" s="171" t="e">
        <f t="shared" si="14"/>
        <v>#N/A</v>
      </c>
      <c r="D66" s="171" t="e">
        <f t="shared" si="15"/>
        <v>#N/A</v>
      </c>
      <c r="E66" s="171" t="e">
        <f t="shared" si="16"/>
        <v>#N/A</v>
      </c>
      <c r="F66" s="166" t="e">
        <f t="shared" si="17"/>
        <v>#N/A</v>
      </c>
      <c r="G66" s="183"/>
      <c r="H66" s="169">
        <v>9</v>
      </c>
      <c r="I66" s="175" t="s">
        <v>82</v>
      </c>
      <c r="J66" s="176" t="e">
        <f t="shared" si="18"/>
        <v>#N/A</v>
      </c>
      <c r="K66" s="176" t="e">
        <f t="shared" si="19"/>
        <v>#N/A</v>
      </c>
      <c r="L66" s="176" t="e">
        <f t="shared" si="20"/>
        <v>#N/A</v>
      </c>
      <c r="M66" s="166" t="e">
        <f t="shared" si="21"/>
        <v>#N/A</v>
      </c>
    </row>
    <row r="67" spans="1:15" x14ac:dyDescent="0.35">
      <c r="A67" s="169">
        <v>10</v>
      </c>
      <c r="B67" s="175" t="s">
        <v>83</v>
      </c>
      <c r="C67" s="171" t="e">
        <f t="shared" si="14"/>
        <v>#N/A</v>
      </c>
      <c r="D67" s="171" t="e">
        <f t="shared" si="15"/>
        <v>#N/A</v>
      </c>
      <c r="E67" s="171" t="e">
        <f t="shared" si="16"/>
        <v>#N/A</v>
      </c>
      <c r="F67" s="166" t="e">
        <f t="shared" si="17"/>
        <v>#N/A</v>
      </c>
      <c r="G67" s="183"/>
      <c r="H67" s="169">
        <v>10</v>
      </c>
      <c r="I67" s="175" t="s">
        <v>83</v>
      </c>
      <c r="J67" s="176" t="e">
        <f t="shared" si="18"/>
        <v>#N/A</v>
      </c>
      <c r="K67" s="176" t="e">
        <f t="shared" si="19"/>
        <v>#N/A</v>
      </c>
      <c r="L67" s="176" t="e">
        <f t="shared" si="20"/>
        <v>#N/A</v>
      </c>
      <c r="M67" s="166" t="e">
        <f t="shared" si="21"/>
        <v>#N/A</v>
      </c>
    </row>
    <row r="68" spans="1:15" x14ac:dyDescent="0.35">
      <c r="A68" s="169">
        <v>11</v>
      </c>
      <c r="B68" s="175" t="s">
        <v>201</v>
      </c>
      <c r="C68" s="171" t="e">
        <f t="shared" si="14"/>
        <v>#N/A</v>
      </c>
      <c r="D68" s="171" t="e">
        <f t="shared" si="15"/>
        <v>#N/A</v>
      </c>
      <c r="E68" s="171" t="e">
        <f t="shared" si="16"/>
        <v>#N/A</v>
      </c>
      <c r="F68" s="166" t="e">
        <f t="shared" si="17"/>
        <v>#N/A</v>
      </c>
      <c r="G68" s="183"/>
      <c r="H68" s="169">
        <v>11</v>
      </c>
      <c r="I68" s="175" t="s">
        <v>201</v>
      </c>
      <c r="J68" s="176" t="e">
        <f t="shared" si="18"/>
        <v>#N/A</v>
      </c>
      <c r="K68" s="176" t="e">
        <f t="shared" si="19"/>
        <v>#N/A</v>
      </c>
      <c r="L68" s="176" t="e">
        <f t="shared" si="20"/>
        <v>#N/A</v>
      </c>
      <c r="M68" s="166" t="e">
        <f t="shared" si="21"/>
        <v>#N/A</v>
      </c>
    </row>
    <row r="69" spans="1:15" x14ac:dyDescent="0.35">
      <c r="A69" s="169">
        <v>12</v>
      </c>
      <c r="B69" s="175" t="s">
        <v>84</v>
      </c>
      <c r="C69" s="171" t="e">
        <f t="shared" si="14"/>
        <v>#N/A</v>
      </c>
      <c r="D69" s="171" t="e">
        <f t="shared" si="15"/>
        <v>#N/A</v>
      </c>
      <c r="E69" s="171" t="e">
        <f t="shared" si="16"/>
        <v>#N/A</v>
      </c>
      <c r="F69" s="166" t="e">
        <f t="shared" si="17"/>
        <v>#N/A</v>
      </c>
      <c r="G69" s="183"/>
      <c r="H69" s="169">
        <v>12</v>
      </c>
      <c r="I69" s="175" t="s">
        <v>84</v>
      </c>
      <c r="J69" s="176" t="e">
        <f t="shared" si="18"/>
        <v>#N/A</v>
      </c>
      <c r="K69" s="176" t="e">
        <f t="shared" si="19"/>
        <v>#N/A</v>
      </c>
      <c r="L69" s="176" t="e">
        <f t="shared" si="20"/>
        <v>#N/A</v>
      </c>
      <c r="M69" s="166" t="e">
        <f t="shared" si="21"/>
        <v>#N/A</v>
      </c>
    </row>
    <row r="70" spans="1:15" x14ac:dyDescent="0.35">
      <c r="A70" s="169">
        <v>13</v>
      </c>
      <c r="B70" s="175" t="s">
        <v>74</v>
      </c>
      <c r="C70" s="171" t="e">
        <f t="shared" si="14"/>
        <v>#N/A</v>
      </c>
      <c r="D70" s="171" t="e">
        <f t="shared" si="15"/>
        <v>#N/A</v>
      </c>
      <c r="E70" s="171" t="e">
        <f t="shared" si="16"/>
        <v>#N/A</v>
      </c>
      <c r="F70" s="166" t="e">
        <f t="shared" si="17"/>
        <v>#N/A</v>
      </c>
      <c r="G70" s="183"/>
      <c r="H70" s="169">
        <v>13</v>
      </c>
      <c r="I70" s="175" t="s">
        <v>74</v>
      </c>
      <c r="J70" s="176" t="e">
        <f t="shared" si="18"/>
        <v>#N/A</v>
      </c>
      <c r="K70" s="176" t="e">
        <f t="shared" si="19"/>
        <v>#N/A</v>
      </c>
      <c r="L70" s="176" t="e">
        <f t="shared" si="20"/>
        <v>#N/A</v>
      </c>
      <c r="M70" s="166" t="e">
        <f t="shared" si="21"/>
        <v>#N/A</v>
      </c>
    </row>
    <row r="71" spans="1:15" x14ac:dyDescent="0.35">
      <c r="A71" s="169">
        <v>14</v>
      </c>
      <c r="B71" s="175" t="s">
        <v>86</v>
      </c>
      <c r="C71" s="171" t="e">
        <f t="shared" si="14"/>
        <v>#N/A</v>
      </c>
      <c r="D71" s="171" t="e">
        <f t="shared" si="15"/>
        <v>#N/A</v>
      </c>
      <c r="E71" s="171" t="e">
        <f t="shared" si="16"/>
        <v>#N/A</v>
      </c>
      <c r="F71" s="166" t="e">
        <f t="shared" si="17"/>
        <v>#N/A</v>
      </c>
      <c r="G71" s="183"/>
      <c r="H71" s="169">
        <v>14</v>
      </c>
      <c r="I71" s="175" t="s">
        <v>86</v>
      </c>
      <c r="J71" s="176" t="e">
        <f t="shared" si="18"/>
        <v>#N/A</v>
      </c>
      <c r="K71" s="176" t="e">
        <f t="shared" si="19"/>
        <v>#N/A</v>
      </c>
      <c r="L71" s="176" t="e">
        <f t="shared" si="20"/>
        <v>#N/A</v>
      </c>
      <c r="M71" s="166" t="e">
        <f t="shared" si="21"/>
        <v>#N/A</v>
      </c>
    </row>
    <row r="72" spans="1:15" x14ac:dyDescent="0.35">
      <c r="A72" s="169">
        <v>15</v>
      </c>
      <c r="B72" s="175" t="s">
        <v>60</v>
      </c>
      <c r="C72" s="171" t="e">
        <f t="shared" si="14"/>
        <v>#N/A</v>
      </c>
      <c r="D72" s="171" t="e">
        <f t="shared" si="15"/>
        <v>#N/A</v>
      </c>
      <c r="E72" s="171" t="e">
        <f t="shared" si="16"/>
        <v>#N/A</v>
      </c>
      <c r="F72" s="166" t="e">
        <f t="shared" si="17"/>
        <v>#N/A</v>
      </c>
      <c r="G72" s="183"/>
      <c r="H72" s="169">
        <v>15</v>
      </c>
      <c r="I72" s="175" t="s">
        <v>60</v>
      </c>
      <c r="J72" s="176" t="e">
        <f t="shared" si="18"/>
        <v>#N/A</v>
      </c>
      <c r="K72" s="176" t="e">
        <f t="shared" si="19"/>
        <v>#N/A</v>
      </c>
      <c r="L72" s="176" t="e">
        <f t="shared" si="20"/>
        <v>#N/A</v>
      </c>
      <c r="M72" s="166" t="e">
        <f t="shared" si="21"/>
        <v>#N/A</v>
      </c>
    </row>
    <row r="73" spans="1:15" x14ac:dyDescent="0.35">
      <c r="A73" s="169">
        <v>16</v>
      </c>
      <c r="B73" s="175" t="s">
        <v>75</v>
      </c>
      <c r="C73" s="171" t="e">
        <f t="shared" si="14"/>
        <v>#N/A</v>
      </c>
      <c r="D73" s="171" t="e">
        <f t="shared" si="15"/>
        <v>#N/A</v>
      </c>
      <c r="E73" s="171" t="e">
        <f t="shared" si="16"/>
        <v>#N/A</v>
      </c>
      <c r="F73" s="166" t="e">
        <f t="shared" si="17"/>
        <v>#N/A</v>
      </c>
      <c r="G73" s="183"/>
      <c r="H73" s="169">
        <v>16</v>
      </c>
      <c r="I73" s="175" t="s">
        <v>75</v>
      </c>
      <c r="J73" s="176" t="e">
        <f t="shared" si="18"/>
        <v>#N/A</v>
      </c>
      <c r="K73" s="176" t="e">
        <f t="shared" si="19"/>
        <v>#N/A</v>
      </c>
      <c r="L73" s="176" t="e">
        <f t="shared" si="20"/>
        <v>#N/A</v>
      </c>
      <c r="M73" s="166" t="e">
        <f t="shared" si="21"/>
        <v>#N/A</v>
      </c>
    </row>
    <row r="74" spans="1:15" x14ac:dyDescent="0.35">
      <c r="A74" s="169">
        <v>17</v>
      </c>
      <c r="B74" s="175" t="s">
        <v>70</v>
      </c>
      <c r="C74" s="171" t="e">
        <f t="shared" si="14"/>
        <v>#N/A</v>
      </c>
      <c r="D74" s="171" t="e">
        <f t="shared" si="15"/>
        <v>#N/A</v>
      </c>
      <c r="E74" s="171" t="e">
        <f t="shared" si="16"/>
        <v>#N/A</v>
      </c>
      <c r="F74" s="166" t="e">
        <f t="shared" si="17"/>
        <v>#N/A</v>
      </c>
      <c r="G74" s="183"/>
      <c r="H74" s="169">
        <v>17</v>
      </c>
      <c r="I74" s="175" t="s">
        <v>70</v>
      </c>
      <c r="J74" s="176" t="e">
        <f t="shared" si="18"/>
        <v>#N/A</v>
      </c>
      <c r="K74" s="176" t="e">
        <f t="shared" si="19"/>
        <v>#N/A</v>
      </c>
      <c r="L74" s="176" t="e">
        <f t="shared" si="20"/>
        <v>#N/A</v>
      </c>
      <c r="M74" s="166" t="e">
        <f t="shared" si="21"/>
        <v>#N/A</v>
      </c>
    </row>
    <row r="75" spans="1:15" x14ac:dyDescent="0.35">
      <c r="A75" s="170">
        <v>18</v>
      </c>
      <c r="B75" s="178" t="s">
        <v>87</v>
      </c>
      <c r="C75" s="172" t="e">
        <f t="shared" si="14"/>
        <v>#N/A</v>
      </c>
      <c r="D75" s="172" t="e">
        <f t="shared" si="15"/>
        <v>#N/A</v>
      </c>
      <c r="E75" s="172" t="e">
        <f t="shared" si="16"/>
        <v>#N/A</v>
      </c>
      <c r="F75" s="167" t="e">
        <f t="shared" si="17"/>
        <v>#N/A</v>
      </c>
      <c r="G75" s="183"/>
      <c r="H75" s="170">
        <v>18</v>
      </c>
      <c r="I75" s="178" t="s">
        <v>87</v>
      </c>
      <c r="J75" s="179" t="e">
        <f t="shared" si="18"/>
        <v>#N/A</v>
      </c>
      <c r="K75" s="179" t="e">
        <f t="shared" si="19"/>
        <v>#N/A</v>
      </c>
      <c r="L75" s="179" t="e">
        <f t="shared" si="20"/>
        <v>#N/A</v>
      </c>
      <c r="M75" s="167" t="e">
        <f t="shared" si="21"/>
        <v>#N/A</v>
      </c>
    </row>
    <row r="77" spans="1:15" s="126" customFormat="1" ht="18.5" x14ac:dyDescent="0.45">
      <c r="B77" s="126" t="s">
        <v>135</v>
      </c>
    </row>
    <row r="78" spans="1:15" s="127" customFormat="1" ht="43.5" customHeight="1" x14ac:dyDescent="0.5">
      <c r="B78" s="128" t="s">
        <v>138</v>
      </c>
    </row>
    <row r="79" spans="1:15" x14ac:dyDescent="0.35">
      <c r="A79" s="50"/>
      <c r="B79" s="158" t="s">
        <v>100</v>
      </c>
      <c r="C79" s="50"/>
      <c r="D79" s="50"/>
      <c r="E79" s="158" t="s">
        <v>175</v>
      </c>
      <c r="F79" s="158"/>
      <c r="I79" s="40" t="s">
        <v>172</v>
      </c>
      <c r="M79" s="40" t="s">
        <v>172</v>
      </c>
    </row>
    <row r="80" spans="1:15" x14ac:dyDescent="0.35">
      <c r="A80" s="168"/>
      <c r="B80" s="164"/>
      <c r="C80" s="165" t="str">
        <f>[1]Data!U30</f>
        <v>Local consultant</v>
      </c>
      <c r="D80" s="182"/>
      <c r="E80" s="168"/>
      <c r="F80" s="164"/>
      <c r="G80" s="165" t="str">
        <f>[1]Data!V30</f>
        <v>Visiting consultant</v>
      </c>
      <c r="H80" s="182"/>
      <c r="I80" s="168"/>
      <c r="J80" s="164"/>
      <c r="K80" s="165" t="str">
        <f>[1]Data!U5</f>
        <v>Local consultant</v>
      </c>
      <c r="L80" s="182"/>
      <c r="M80" s="168"/>
      <c r="N80" s="164"/>
      <c r="O80" s="165" t="str">
        <f>[1]Data!V5</f>
        <v>Visiting consultant</v>
      </c>
    </row>
    <row r="81" spans="1:15" x14ac:dyDescent="0.35">
      <c r="A81" s="169">
        <v>1</v>
      </c>
      <c r="B81" s="175" t="s">
        <v>195</v>
      </c>
      <c r="C81" s="184" t="e">
        <f t="shared" ref="C81:C98" si="22">IF(INDEX(Q4_Paeds,4+$A81,21)="No data",NA(),INDEX(Q4_Paeds,4+$A81,21))</f>
        <v>#N/A</v>
      </c>
      <c r="D81" s="186"/>
      <c r="E81" s="169">
        <v>1</v>
      </c>
      <c r="F81" s="175" t="s">
        <v>195</v>
      </c>
      <c r="G81" s="184" t="e">
        <f t="shared" ref="G81:G98" si="23">IF(INDEX(Q4_Paeds,4+$E81,22)="No data",NA(),INDEX(Q4_Paeds,4+$E81,22))</f>
        <v>#N/A</v>
      </c>
      <c r="H81" s="186"/>
      <c r="I81" s="169">
        <v>1</v>
      </c>
      <c r="J81" s="175" t="s">
        <v>195</v>
      </c>
      <c r="K81" s="184" t="e">
        <f t="shared" ref="K81:K98" si="24">IF(INDEX(Q4_Adult,4+$I81,21)="No data",NA(),INDEX(Q4_Adult,4+$I81,21))</f>
        <v>#N/A</v>
      </c>
      <c r="L81" s="186"/>
      <c r="M81" s="169">
        <v>1</v>
      </c>
      <c r="N81" s="175" t="s">
        <v>195</v>
      </c>
      <c r="O81" s="184" t="e">
        <f t="shared" ref="O81:O98" si="25">IF(INDEX(Q4_Adult,4+$M81,22)="No data",NA(),INDEX(Q4_Adult,4+$M81,22))</f>
        <v>#N/A</v>
      </c>
    </row>
    <row r="82" spans="1:15" x14ac:dyDescent="0.35">
      <c r="A82" s="169">
        <v>2</v>
      </c>
      <c r="B82" s="175" t="s">
        <v>196</v>
      </c>
      <c r="C82" s="184" t="e">
        <f t="shared" si="22"/>
        <v>#N/A</v>
      </c>
      <c r="D82" s="186"/>
      <c r="E82" s="169">
        <v>2</v>
      </c>
      <c r="F82" s="175" t="s">
        <v>196</v>
      </c>
      <c r="G82" s="184" t="e">
        <f t="shared" si="23"/>
        <v>#N/A</v>
      </c>
      <c r="H82" s="186"/>
      <c r="I82" s="169">
        <v>2</v>
      </c>
      <c r="J82" s="175" t="s">
        <v>196</v>
      </c>
      <c r="K82" s="184" t="e">
        <f t="shared" si="24"/>
        <v>#N/A</v>
      </c>
      <c r="L82" s="186"/>
      <c r="M82" s="169">
        <v>2</v>
      </c>
      <c r="N82" s="175" t="s">
        <v>196</v>
      </c>
      <c r="O82" s="184" t="e">
        <f t="shared" si="25"/>
        <v>#N/A</v>
      </c>
    </row>
    <row r="83" spans="1:15" x14ac:dyDescent="0.35">
      <c r="A83" s="169">
        <v>3</v>
      </c>
      <c r="B83" s="175" t="s">
        <v>197</v>
      </c>
      <c r="C83" s="184" t="e">
        <f t="shared" si="22"/>
        <v>#N/A</v>
      </c>
      <c r="D83" s="186"/>
      <c r="E83" s="169">
        <v>3</v>
      </c>
      <c r="F83" s="175" t="s">
        <v>197</v>
      </c>
      <c r="G83" s="184" t="e">
        <f t="shared" si="23"/>
        <v>#N/A</v>
      </c>
      <c r="H83" s="186"/>
      <c r="I83" s="169">
        <v>3</v>
      </c>
      <c r="J83" s="175" t="s">
        <v>197</v>
      </c>
      <c r="K83" s="184" t="e">
        <f t="shared" si="24"/>
        <v>#N/A</v>
      </c>
      <c r="L83" s="186"/>
      <c r="M83" s="169">
        <v>3</v>
      </c>
      <c r="N83" s="175" t="s">
        <v>197</v>
      </c>
      <c r="O83" s="184" t="e">
        <f t="shared" si="25"/>
        <v>#N/A</v>
      </c>
    </row>
    <row r="84" spans="1:15" x14ac:dyDescent="0.35">
      <c r="A84" s="169">
        <v>4</v>
      </c>
      <c r="B84" s="175" t="s">
        <v>198</v>
      </c>
      <c r="C84" s="184" t="e">
        <f t="shared" si="22"/>
        <v>#N/A</v>
      </c>
      <c r="D84" s="186"/>
      <c r="E84" s="169">
        <v>4</v>
      </c>
      <c r="F84" s="175" t="s">
        <v>198</v>
      </c>
      <c r="G84" s="184" t="e">
        <f t="shared" si="23"/>
        <v>#N/A</v>
      </c>
      <c r="H84" s="186"/>
      <c r="I84" s="169">
        <v>4</v>
      </c>
      <c r="J84" s="175" t="s">
        <v>198</v>
      </c>
      <c r="K84" s="184" t="e">
        <f t="shared" si="24"/>
        <v>#N/A</v>
      </c>
      <c r="L84" s="186"/>
      <c r="M84" s="169">
        <v>4</v>
      </c>
      <c r="N84" s="175" t="s">
        <v>198</v>
      </c>
      <c r="O84" s="184" t="e">
        <f t="shared" si="25"/>
        <v>#N/A</v>
      </c>
    </row>
    <row r="85" spans="1:15" x14ac:dyDescent="0.35">
      <c r="A85" s="169">
        <v>5</v>
      </c>
      <c r="B85" s="175" t="s">
        <v>199</v>
      </c>
      <c r="C85" s="184" t="e">
        <f t="shared" si="22"/>
        <v>#N/A</v>
      </c>
      <c r="D85" s="186"/>
      <c r="E85" s="169">
        <v>5</v>
      </c>
      <c r="F85" s="175" t="s">
        <v>199</v>
      </c>
      <c r="G85" s="184" t="e">
        <f t="shared" si="23"/>
        <v>#N/A</v>
      </c>
      <c r="H85" s="186"/>
      <c r="I85" s="169">
        <v>5</v>
      </c>
      <c r="J85" s="175" t="s">
        <v>199</v>
      </c>
      <c r="K85" s="184" t="e">
        <f t="shared" si="24"/>
        <v>#N/A</v>
      </c>
      <c r="L85" s="186"/>
      <c r="M85" s="169">
        <v>5</v>
      </c>
      <c r="N85" s="175" t="s">
        <v>199</v>
      </c>
      <c r="O85" s="184" t="e">
        <f t="shared" si="25"/>
        <v>#N/A</v>
      </c>
    </row>
    <row r="86" spans="1:15" x14ac:dyDescent="0.35">
      <c r="A86" s="169">
        <v>6</v>
      </c>
      <c r="B86" s="175" t="s">
        <v>202</v>
      </c>
      <c r="C86" s="184" t="e">
        <f t="shared" si="22"/>
        <v>#N/A</v>
      </c>
      <c r="D86" s="186"/>
      <c r="E86" s="169">
        <v>6</v>
      </c>
      <c r="F86" s="175" t="s">
        <v>202</v>
      </c>
      <c r="G86" s="184" t="e">
        <f t="shared" si="23"/>
        <v>#N/A</v>
      </c>
      <c r="H86" s="186"/>
      <c r="I86" s="169">
        <v>6</v>
      </c>
      <c r="J86" s="175" t="s">
        <v>202</v>
      </c>
      <c r="K86" s="184" t="e">
        <f t="shared" si="24"/>
        <v>#N/A</v>
      </c>
      <c r="L86" s="186"/>
      <c r="M86" s="169">
        <v>6</v>
      </c>
      <c r="N86" s="175" t="s">
        <v>202</v>
      </c>
      <c r="O86" s="184" t="e">
        <f t="shared" si="25"/>
        <v>#N/A</v>
      </c>
    </row>
    <row r="87" spans="1:15" x14ac:dyDescent="0.35">
      <c r="A87" s="169">
        <v>7</v>
      </c>
      <c r="B87" s="175" t="s">
        <v>203</v>
      </c>
      <c r="C87" s="184" t="e">
        <f t="shared" si="22"/>
        <v>#N/A</v>
      </c>
      <c r="D87" s="186"/>
      <c r="E87" s="169">
        <v>7</v>
      </c>
      <c r="F87" s="175" t="s">
        <v>203</v>
      </c>
      <c r="G87" s="184" t="e">
        <f t="shared" si="23"/>
        <v>#N/A</v>
      </c>
      <c r="H87" s="186"/>
      <c r="I87" s="169">
        <v>7</v>
      </c>
      <c r="J87" s="175" t="s">
        <v>203</v>
      </c>
      <c r="K87" s="184" t="e">
        <f t="shared" si="24"/>
        <v>#N/A</v>
      </c>
      <c r="L87" s="186"/>
      <c r="M87" s="169">
        <v>7</v>
      </c>
      <c r="N87" s="175" t="s">
        <v>203</v>
      </c>
      <c r="O87" s="184" t="e">
        <f t="shared" si="25"/>
        <v>#N/A</v>
      </c>
    </row>
    <row r="88" spans="1:15" x14ac:dyDescent="0.35">
      <c r="A88" s="169">
        <v>8</v>
      </c>
      <c r="B88" s="175" t="s">
        <v>200</v>
      </c>
      <c r="C88" s="184" t="e">
        <f t="shared" si="22"/>
        <v>#N/A</v>
      </c>
      <c r="D88" s="186"/>
      <c r="E88" s="169">
        <v>8</v>
      </c>
      <c r="F88" s="175" t="s">
        <v>200</v>
      </c>
      <c r="G88" s="184" t="e">
        <f t="shared" si="23"/>
        <v>#N/A</v>
      </c>
      <c r="H88" s="186"/>
      <c r="I88" s="169">
        <v>8</v>
      </c>
      <c r="J88" s="175" t="s">
        <v>200</v>
      </c>
      <c r="K88" s="184" t="e">
        <f t="shared" si="24"/>
        <v>#N/A</v>
      </c>
      <c r="L88" s="186"/>
      <c r="M88" s="169">
        <v>8</v>
      </c>
      <c r="N88" s="175" t="s">
        <v>200</v>
      </c>
      <c r="O88" s="184" t="e">
        <f t="shared" si="25"/>
        <v>#N/A</v>
      </c>
    </row>
    <row r="89" spans="1:15" x14ac:dyDescent="0.35">
      <c r="A89" s="169">
        <v>9</v>
      </c>
      <c r="B89" s="175" t="s">
        <v>82</v>
      </c>
      <c r="C89" s="184" t="e">
        <f t="shared" si="22"/>
        <v>#N/A</v>
      </c>
      <c r="D89" s="186"/>
      <c r="E89" s="169">
        <v>9</v>
      </c>
      <c r="F89" s="175" t="s">
        <v>82</v>
      </c>
      <c r="G89" s="184" t="e">
        <f t="shared" si="23"/>
        <v>#N/A</v>
      </c>
      <c r="H89" s="186"/>
      <c r="I89" s="169">
        <v>9</v>
      </c>
      <c r="J89" s="175" t="s">
        <v>82</v>
      </c>
      <c r="K89" s="184" t="e">
        <f t="shared" si="24"/>
        <v>#N/A</v>
      </c>
      <c r="L89" s="186"/>
      <c r="M89" s="169">
        <v>9</v>
      </c>
      <c r="N89" s="175" t="s">
        <v>82</v>
      </c>
      <c r="O89" s="184" t="e">
        <f t="shared" si="25"/>
        <v>#N/A</v>
      </c>
    </row>
    <row r="90" spans="1:15" x14ac:dyDescent="0.35">
      <c r="A90" s="169">
        <v>10</v>
      </c>
      <c r="B90" s="175" t="s">
        <v>83</v>
      </c>
      <c r="C90" s="184" t="e">
        <f t="shared" si="22"/>
        <v>#N/A</v>
      </c>
      <c r="D90" s="186"/>
      <c r="E90" s="169">
        <v>10</v>
      </c>
      <c r="F90" s="175" t="s">
        <v>83</v>
      </c>
      <c r="G90" s="184" t="e">
        <f t="shared" si="23"/>
        <v>#N/A</v>
      </c>
      <c r="H90" s="186"/>
      <c r="I90" s="169">
        <v>10</v>
      </c>
      <c r="J90" s="175" t="s">
        <v>83</v>
      </c>
      <c r="K90" s="184" t="e">
        <f t="shared" si="24"/>
        <v>#N/A</v>
      </c>
      <c r="L90" s="186"/>
      <c r="M90" s="169">
        <v>10</v>
      </c>
      <c r="N90" s="175" t="s">
        <v>83</v>
      </c>
      <c r="O90" s="184" t="e">
        <f t="shared" si="25"/>
        <v>#N/A</v>
      </c>
    </row>
    <row r="91" spans="1:15" x14ac:dyDescent="0.35">
      <c r="A91" s="169">
        <v>11</v>
      </c>
      <c r="B91" s="175" t="s">
        <v>201</v>
      </c>
      <c r="C91" s="184" t="e">
        <f t="shared" si="22"/>
        <v>#N/A</v>
      </c>
      <c r="D91" s="186"/>
      <c r="E91" s="169">
        <v>11</v>
      </c>
      <c r="F91" s="175" t="s">
        <v>201</v>
      </c>
      <c r="G91" s="184" t="e">
        <f t="shared" si="23"/>
        <v>#N/A</v>
      </c>
      <c r="H91" s="186"/>
      <c r="I91" s="169">
        <v>11</v>
      </c>
      <c r="J91" s="175" t="s">
        <v>201</v>
      </c>
      <c r="K91" s="184" t="e">
        <f t="shared" si="24"/>
        <v>#N/A</v>
      </c>
      <c r="L91" s="186"/>
      <c r="M91" s="169">
        <v>11</v>
      </c>
      <c r="N91" s="175" t="s">
        <v>201</v>
      </c>
      <c r="O91" s="184" t="e">
        <f t="shared" si="25"/>
        <v>#N/A</v>
      </c>
    </row>
    <row r="92" spans="1:15" x14ac:dyDescent="0.35">
      <c r="A92" s="169">
        <v>12</v>
      </c>
      <c r="B92" s="175" t="s">
        <v>84</v>
      </c>
      <c r="C92" s="184" t="e">
        <f t="shared" si="22"/>
        <v>#N/A</v>
      </c>
      <c r="D92" s="186"/>
      <c r="E92" s="169">
        <v>12</v>
      </c>
      <c r="F92" s="175" t="s">
        <v>84</v>
      </c>
      <c r="G92" s="184" t="e">
        <f t="shared" si="23"/>
        <v>#N/A</v>
      </c>
      <c r="H92" s="186"/>
      <c r="I92" s="169">
        <v>12</v>
      </c>
      <c r="J92" s="175" t="s">
        <v>84</v>
      </c>
      <c r="K92" s="184" t="e">
        <f t="shared" si="24"/>
        <v>#N/A</v>
      </c>
      <c r="L92" s="186"/>
      <c r="M92" s="169">
        <v>12</v>
      </c>
      <c r="N92" s="175" t="s">
        <v>84</v>
      </c>
      <c r="O92" s="184" t="e">
        <f t="shared" si="25"/>
        <v>#N/A</v>
      </c>
    </row>
    <row r="93" spans="1:15" x14ac:dyDescent="0.35">
      <c r="A93" s="169">
        <v>13</v>
      </c>
      <c r="B93" s="175" t="s">
        <v>74</v>
      </c>
      <c r="C93" s="184" t="e">
        <f t="shared" si="22"/>
        <v>#N/A</v>
      </c>
      <c r="D93" s="186"/>
      <c r="E93" s="169">
        <v>13</v>
      </c>
      <c r="F93" s="175" t="s">
        <v>74</v>
      </c>
      <c r="G93" s="184" t="e">
        <f t="shared" si="23"/>
        <v>#N/A</v>
      </c>
      <c r="H93" s="186"/>
      <c r="I93" s="169">
        <v>13</v>
      </c>
      <c r="J93" s="175" t="s">
        <v>74</v>
      </c>
      <c r="K93" s="184" t="e">
        <f t="shared" si="24"/>
        <v>#N/A</v>
      </c>
      <c r="L93" s="186"/>
      <c r="M93" s="169">
        <v>13</v>
      </c>
      <c r="N93" s="175" t="s">
        <v>74</v>
      </c>
      <c r="O93" s="184" t="e">
        <f t="shared" si="25"/>
        <v>#N/A</v>
      </c>
    </row>
    <row r="94" spans="1:15" x14ac:dyDescent="0.35">
      <c r="A94" s="169">
        <v>14</v>
      </c>
      <c r="B94" s="175" t="s">
        <v>86</v>
      </c>
      <c r="C94" s="184" t="e">
        <f t="shared" si="22"/>
        <v>#N/A</v>
      </c>
      <c r="D94" s="186"/>
      <c r="E94" s="169">
        <v>14</v>
      </c>
      <c r="F94" s="175" t="s">
        <v>86</v>
      </c>
      <c r="G94" s="184" t="e">
        <f t="shared" si="23"/>
        <v>#N/A</v>
      </c>
      <c r="H94" s="186"/>
      <c r="I94" s="169">
        <v>14</v>
      </c>
      <c r="J94" s="175" t="s">
        <v>86</v>
      </c>
      <c r="K94" s="184" t="e">
        <f t="shared" si="24"/>
        <v>#N/A</v>
      </c>
      <c r="L94" s="186"/>
      <c r="M94" s="169">
        <v>14</v>
      </c>
      <c r="N94" s="175" t="s">
        <v>86</v>
      </c>
      <c r="O94" s="184" t="e">
        <f t="shared" si="25"/>
        <v>#N/A</v>
      </c>
    </row>
    <row r="95" spans="1:15" x14ac:dyDescent="0.35">
      <c r="A95" s="169">
        <v>15</v>
      </c>
      <c r="B95" s="175" t="s">
        <v>60</v>
      </c>
      <c r="C95" s="184" t="e">
        <f t="shared" si="22"/>
        <v>#N/A</v>
      </c>
      <c r="D95" s="186"/>
      <c r="E95" s="169">
        <v>15</v>
      </c>
      <c r="F95" s="175" t="s">
        <v>60</v>
      </c>
      <c r="G95" s="184" t="e">
        <f t="shared" si="23"/>
        <v>#N/A</v>
      </c>
      <c r="H95" s="186"/>
      <c r="I95" s="169">
        <v>15</v>
      </c>
      <c r="J95" s="175" t="s">
        <v>60</v>
      </c>
      <c r="K95" s="184" t="e">
        <f t="shared" si="24"/>
        <v>#N/A</v>
      </c>
      <c r="L95" s="186"/>
      <c r="M95" s="169">
        <v>15</v>
      </c>
      <c r="N95" s="175" t="s">
        <v>60</v>
      </c>
      <c r="O95" s="184" t="e">
        <f t="shared" si="25"/>
        <v>#N/A</v>
      </c>
    </row>
    <row r="96" spans="1:15" x14ac:dyDescent="0.35">
      <c r="A96" s="169">
        <v>16</v>
      </c>
      <c r="B96" s="175" t="s">
        <v>75</v>
      </c>
      <c r="C96" s="184" t="e">
        <f t="shared" si="22"/>
        <v>#N/A</v>
      </c>
      <c r="D96" s="186"/>
      <c r="E96" s="169">
        <v>16</v>
      </c>
      <c r="F96" s="175" t="s">
        <v>75</v>
      </c>
      <c r="G96" s="184" t="e">
        <f t="shared" si="23"/>
        <v>#N/A</v>
      </c>
      <c r="H96" s="186"/>
      <c r="I96" s="169">
        <v>16</v>
      </c>
      <c r="J96" s="175" t="s">
        <v>75</v>
      </c>
      <c r="K96" s="184" t="e">
        <f t="shared" si="24"/>
        <v>#N/A</v>
      </c>
      <c r="L96" s="186"/>
      <c r="M96" s="169">
        <v>16</v>
      </c>
      <c r="N96" s="175" t="s">
        <v>75</v>
      </c>
      <c r="O96" s="184" t="e">
        <f t="shared" si="25"/>
        <v>#N/A</v>
      </c>
    </row>
    <row r="97" spans="1:15" x14ac:dyDescent="0.35">
      <c r="A97" s="169">
        <v>17</v>
      </c>
      <c r="B97" s="175" t="s">
        <v>70</v>
      </c>
      <c r="C97" s="184" t="e">
        <f t="shared" si="22"/>
        <v>#N/A</v>
      </c>
      <c r="D97" s="186"/>
      <c r="E97" s="169">
        <v>17</v>
      </c>
      <c r="F97" s="175" t="s">
        <v>70</v>
      </c>
      <c r="G97" s="184" t="e">
        <f t="shared" si="23"/>
        <v>#N/A</v>
      </c>
      <c r="H97" s="186"/>
      <c r="I97" s="169">
        <v>17</v>
      </c>
      <c r="J97" s="175" t="s">
        <v>70</v>
      </c>
      <c r="K97" s="184" t="e">
        <f t="shared" si="24"/>
        <v>#N/A</v>
      </c>
      <c r="L97" s="186"/>
      <c r="M97" s="169">
        <v>17</v>
      </c>
      <c r="N97" s="175" t="s">
        <v>70</v>
      </c>
      <c r="O97" s="184" t="e">
        <f t="shared" si="25"/>
        <v>#N/A</v>
      </c>
    </row>
    <row r="98" spans="1:15" x14ac:dyDescent="0.35">
      <c r="A98" s="170">
        <v>18</v>
      </c>
      <c r="B98" s="178" t="s">
        <v>87</v>
      </c>
      <c r="C98" s="185" t="e">
        <f t="shared" si="22"/>
        <v>#N/A</v>
      </c>
      <c r="D98" s="186"/>
      <c r="E98" s="170">
        <v>18</v>
      </c>
      <c r="F98" s="178" t="s">
        <v>87</v>
      </c>
      <c r="G98" s="185" t="e">
        <f t="shared" si="23"/>
        <v>#N/A</v>
      </c>
      <c r="H98" s="186"/>
      <c r="I98" s="170">
        <v>18</v>
      </c>
      <c r="J98" s="178" t="s">
        <v>87</v>
      </c>
      <c r="K98" s="185" t="e">
        <f t="shared" si="24"/>
        <v>#N/A</v>
      </c>
      <c r="L98" s="186"/>
      <c r="M98" s="170">
        <v>18</v>
      </c>
      <c r="N98" s="178" t="s">
        <v>87</v>
      </c>
      <c r="O98" s="185" t="e">
        <f t="shared" si="25"/>
        <v>#N/A</v>
      </c>
    </row>
    <row r="99" spans="1:15" s="50" customFormat="1" x14ac:dyDescent="0.35">
      <c r="B99" s="92"/>
      <c r="C99" s="129"/>
      <c r="D99" s="129"/>
      <c r="E99" s="92"/>
      <c r="F99" s="129"/>
    </row>
    <row r="100" spans="1:15" ht="18.5" x14ac:dyDescent="0.35">
      <c r="B100" s="130" t="s">
        <v>212</v>
      </c>
      <c r="F100" s="130" t="s">
        <v>213</v>
      </c>
    </row>
    <row r="101" spans="1:15" x14ac:dyDescent="0.35">
      <c r="A101" s="277" t="s">
        <v>101</v>
      </c>
      <c r="B101" s="491" t="s">
        <v>211</v>
      </c>
      <c r="C101" s="492"/>
      <c r="D101" s="278"/>
      <c r="E101" s="279" t="s">
        <v>101</v>
      </c>
      <c r="F101" s="493" t="s">
        <v>6</v>
      </c>
      <c r="G101" s="493"/>
      <c r="H101" s="493" t="s">
        <v>7</v>
      </c>
      <c r="I101" s="493"/>
      <c r="J101" s="493" t="s">
        <v>8</v>
      </c>
      <c r="K101" s="493"/>
      <c r="L101" s="493" t="s">
        <v>9</v>
      </c>
      <c r="M101" s="493"/>
    </row>
    <row r="102" spans="1:15" ht="15" customHeight="1" x14ac:dyDescent="0.35">
      <c r="A102" s="280" t="s">
        <v>67</v>
      </c>
      <c r="B102" s="281" t="s">
        <v>2</v>
      </c>
      <c r="C102" s="282" t="s">
        <v>102</v>
      </c>
      <c r="D102" s="278"/>
      <c r="E102" s="283" t="s">
        <v>67</v>
      </c>
      <c r="F102" s="284" t="s">
        <v>2</v>
      </c>
      <c r="G102" s="285" t="s">
        <v>102</v>
      </c>
      <c r="H102" s="286" t="s">
        <v>2</v>
      </c>
      <c r="I102" s="287" t="s">
        <v>102</v>
      </c>
      <c r="J102" s="288" t="s">
        <v>2</v>
      </c>
      <c r="K102" s="285" t="s">
        <v>102</v>
      </c>
      <c r="L102" s="289" t="s">
        <v>2</v>
      </c>
      <c r="M102" s="287" t="s">
        <v>102</v>
      </c>
      <c r="N102" s="55"/>
    </row>
    <row r="103" spans="1:15" x14ac:dyDescent="0.35">
      <c r="A103" s="290" t="s">
        <v>209</v>
      </c>
      <c r="B103" s="291">
        <f>_xlfn.AGGREGATE(4,6,$K$81:$K$98)</f>
        <v>0</v>
      </c>
      <c r="C103" s="292">
        <f>_xlfn.AGGREGATE(4,6,$O$81:$O$98)</f>
        <v>0</v>
      </c>
      <c r="D103" s="278"/>
      <c r="E103" s="279" t="s">
        <v>209</v>
      </c>
      <c r="F103" s="293">
        <v>0.255</v>
      </c>
      <c r="G103" s="294">
        <v>0.19</v>
      </c>
      <c r="H103" s="293"/>
      <c r="I103" s="294"/>
      <c r="J103" s="295"/>
      <c r="K103" s="294"/>
      <c r="L103" s="296"/>
      <c r="M103" s="294"/>
      <c r="N103" s="55"/>
    </row>
    <row r="104" spans="1:15" x14ac:dyDescent="0.35">
      <c r="A104" s="290" t="s">
        <v>207</v>
      </c>
      <c r="B104" s="291">
        <f>_xlfn.AGGREGATE(5,6,$K$81:$K$98)</f>
        <v>0</v>
      </c>
      <c r="C104" s="292">
        <f>_xlfn.AGGREGATE(5,6,$O$81:$O$98)</f>
        <v>0</v>
      </c>
      <c r="D104" s="278"/>
      <c r="E104" s="279" t="s">
        <v>207</v>
      </c>
      <c r="F104" s="293">
        <v>0</v>
      </c>
      <c r="G104" s="294">
        <v>0</v>
      </c>
      <c r="H104" s="293"/>
      <c r="I104" s="294"/>
      <c r="J104" s="295"/>
      <c r="K104" s="294"/>
      <c r="L104" s="296"/>
      <c r="M104" s="294"/>
      <c r="N104" s="55"/>
    </row>
    <row r="105" spans="1:15" x14ac:dyDescent="0.35">
      <c r="A105" s="297" t="s">
        <v>208</v>
      </c>
      <c r="B105" s="298" t="e">
        <f>_xlfn.AGGREGATE(12,6,$K$81:$K$98)</f>
        <v>#NUM!</v>
      </c>
      <c r="C105" s="299" t="e">
        <f>_xlfn.AGGREGATE(12,6,$O$81:$O$98)</f>
        <v>#NUM!</v>
      </c>
      <c r="D105" s="278"/>
      <c r="E105" s="279" t="s">
        <v>208</v>
      </c>
      <c r="F105" s="300">
        <v>0.04</v>
      </c>
      <c r="G105" s="301">
        <v>0</v>
      </c>
      <c r="H105" s="300"/>
      <c r="I105" s="301"/>
      <c r="J105" s="302"/>
      <c r="K105" s="301"/>
      <c r="L105" s="303"/>
      <c r="M105" s="301"/>
      <c r="N105" s="55"/>
    </row>
    <row r="106" spans="1:15" x14ac:dyDescent="0.35">
      <c r="A106" s="278"/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</row>
    <row r="107" spans="1:15" x14ac:dyDescent="0.35">
      <c r="A107" s="288" t="s">
        <v>103</v>
      </c>
      <c r="B107" s="491" t="s">
        <v>211</v>
      </c>
      <c r="C107" s="492"/>
      <c r="D107" s="278"/>
      <c r="E107" s="304" t="s">
        <v>103</v>
      </c>
      <c r="F107" s="493" t="s">
        <v>6</v>
      </c>
      <c r="G107" s="493"/>
      <c r="H107" s="493" t="s">
        <v>7</v>
      </c>
      <c r="I107" s="493"/>
      <c r="J107" s="493" t="s">
        <v>8</v>
      </c>
      <c r="K107" s="493"/>
      <c r="L107" s="493" t="s">
        <v>9</v>
      </c>
      <c r="M107" s="493"/>
    </row>
    <row r="108" spans="1:15" x14ac:dyDescent="0.35">
      <c r="A108" s="305" t="s">
        <v>16</v>
      </c>
      <c r="B108" s="306" t="s">
        <v>2</v>
      </c>
      <c r="C108" s="307" t="s">
        <v>102</v>
      </c>
      <c r="D108" s="278"/>
      <c r="E108" s="304" t="s">
        <v>16</v>
      </c>
      <c r="F108" s="284" t="s">
        <v>2</v>
      </c>
      <c r="G108" s="285" t="s">
        <v>102</v>
      </c>
      <c r="H108" s="286" t="s">
        <v>2</v>
      </c>
      <c r="I108" s="287" t="s">
        <v>102</v>
      </c>
      <c r="J108" s="288" t="s">
        <v>2</v>
      </c>
      <c r="K108" s="285" t="s">
        <v>102</v>
      </c>
      <c r="L108" s="289" t="s">
        <v>2</v>
      </c>
      <c r="M108" s="287" t="s">
        <v>102</v>
      </c>
    </row>
    <row r="109" spans="1:15" x14ac:dyDescent="0.35">
      <c r="A109" s="290" t="s">
        <v>209</v>
      </c>
      <c r="B109" s="291">
        <f>_xlfn.AGGREGATE(4,6,$C$81:$C$98)</f>
        <v>0</v>
      </c>
      <c r="C109" s="292">
        <f>_xlfn.AGGREGATE(4,6,$G$81:$G$98)</f>
        <v>0</v>
      </c>
      <c r="D109" s="278"/>
      <c r="E109" s="279" t="s">
        <v>209</v>
      </c>
      <c r="F109" s="293">
        <v>0.3095</v>
      </c>
      <c r="G109" s="294">
        <v>0.1</v>
      </c>
      <c r="H109" s="293"/>
      <c r="I109" s="294"/>
      <c r="J109" s="295"/>
      <c r="K109" s="294"/>
      <c r="L109" s="296"/>
      <c r="M109" s="294"/>
    </row>
    <row r="110" spans="1:15" x14ac:dyDescent="0.35">
      <c r="A110" s="290" t="s">
        <v>207</v>
      </c>
      <c r="B110" s="291">
        <f>_xlfn.AGGREGATE(5,6,$C$81:$C$98)</f>
        <v>0</v>
      </c>
      <c r="C110" s="292">
        <f>_xlfn.AGGREGATE(5,6,$G$81:$G$98)</f>
        <v>0</v>
      </c>
      <c r="D110" s="278"/>
      <c r="E110" s="279" t="s">
        <v>207</v>
      </c>
      <c r="F110" s="293">
        <v>0</v>
      </c>
      <c r="G110" s="294">
        <v>0</v>
      </c>
      <c r="H110" s="293"/>
      <c r="I110" s="294"/>
      <c r="J110" s="295"/>
      <c r="K110" s="294"/>
      <c r="L110" s="296"/>
      <c r="M110" s="294"/>
    </row>
    <row r="111" spans="1:15" x14ac:dyDescent="0.35">
      <c r="A111" s="297" t="s">
        <v>208</v>
      </c>
      <c r="B111" s="298" t="e">
        <f>_xlfn.AGGREGATE(12,6,$C$81:$C$98)</f>
        <v>#NUM!</v>
      </c>
      <c r="C111" s="299" t="e">
        <f>_xlfn.AGGREGATE(12,6,$G$81:$G$98)</f>
        <v>#NUM!</v>
      </c>
      <c r="D111" s="278"/>
      <c r="E111" s="279" t="s">
        <v>208</v>
      </c>
      <c r="F111" s="300">
        <v>6.3399999999999998E-2</v>
      </c>
      <c r="G111" s="301">
        <v>1.6E-2</v>
      </c>
      <c r="H111" s="300"/>
      <c r="I111" s="301"/>
      <c r="J111" s="302"/>
      <c r="K111" s="301"/>
      <c r="L111" s="303"/>
      <c r="M111" s="301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C25" sqref="C25"/>
    </sheetView>
  </sheetViews>
  <sheetFormatPr defaultRowHeight="14.5" x14ac:dyDescent="0.35"/>
  <sheetData>
    <row r="2" spans="1:11" s="123" customFormat="1" ht="23.5" x14ac:dyDescent="0.55000000000000004">
      <c r="A2" s="123" t="s">
        <v>136</v>
      </c>
    </row>
    <row r="4" spans="1:11" x14ac:dyDescent="0.35">
      <c r="A4" s="90" t="s">
        <v>16</v>
      </c>
      <c r="B4" s="91"/>
      <c r="C4" s="91"/>
      <c r="D4" s="91"/>
      <c r="E4" s="91"/>
      <c r="G4" s="90" t="s">
        <v>67</v>
      </c>
      <c r="H4" s="91"/>
      <c r="I4" s="91"/>
      <c r="J4" s="91"/>
      <c r="K4" s="91"/>
    </row>
    <row r="5" spans="1:11" x14ac:dyDescent="0.35">
      <c r="A5" s="91"/>
      <c r="B5" s="91" t="s">
        <v>6</v>
      </c>
      <c r="C5" s="91" t="s">
        <v>7</v>
      </c>
      <c r="D5" s="91" t="s">
        <v>8</v>
      </c>
      <c r="E5" s="91" t="s">
        <v>9</v>
      </c>
      <c r="G5" s="91"/>
      <c r="H5" s="91" t="s">
        <v>6</v>
      </c>
      <c r="I5" s="91" t="s">
        <v>7</v>
      </c>
      <c r="J5" s="91" t="s">
        <v>8</v>
      </c>
      <c r="K5" s="91" t="s">
        <v>9</v>
      </c>
    </row>
    <row r="6" spans="1:11" x14ac:dyDescent="0.35">
      <c r="A6" s="91" t="s">
        <v>13</v>
      </c>
      <c r="B6" s="257">
        <f ca="1">Data!G50</f>
        <v>12.8</v>
      </c>
      <c r="C6" s="264">
        <f ca="1">Data!G101</f>
        <v>11.5</v>
      </c>
      <c r="D6" s="257">
        <f ca="1">Data!G152</f>
        <v>11</v>
      </c>
      <c r="E6" s="257" t="str">
        <f ca="1">Data!G203</f>
        <v>No data</v>
      </c>
      <c r="G6" s="91" t="s">
        <v>13</v>
      </c>
      <c r="H6" s="264">
        <f ca="1">Data!G25</f>
        <v>0</v>
      </c>
      <c r="I6" s="264">
        <f ca="1">Data!G76</f>
        <v>0</v>
      </c>
      <c r="J6" s="264">
        <f ca="1">Data!G127</f>
        <v>0</v>
      </c>
      <c r="K6" s="264" t="str">
        <f ca="1">Data!G178</f>
        <v>No data</v>
      </c>
    </row>
    <row r="7" spans="1:11" x14ac:dyDescent="0.35">
      <c r="A7" s="91" t="s">
        <v>21</v>
      </c>
      <c r="B7" s="257">
        <f ca="1">Data!H50</f>
        <v>18.8</v>
      </c>
      <c r="C7" s="264">
        <f ca="1">Data!H101</f>
        <v>19.7</v>
      </c>
      <c r="D7" s="257">
        <f ca="1">Data!H152</f>
        <v>15</v>
      </c>
      <c r="E7" s="257" t="str">
        <f ca="1">Data!H203</f>
        <v>No data</v>
      </c>
      <c r="G7" s="91" t="s">
        <v>21</v>
      </c>
      <c r="H7" s="264">
        <f ca="1">Data!H25</f>
        <v>0</v>
      </c>
      <c r="I7" s="264">
        <f ca="1">Data!H76</f>
        <v>0</v>
      </c>
      <c r="J7" s="264">
        <f ca="1">Data!H127</f>
        <v>0</v>
      </c>
      <c r="K7" s="264">
        <f>Data!IH178</f>
        <v>0</v>
      </c>
    </row>
    <row r="9" spans="1:11" x14ac:dyDescent="0.35">
      <c r="A9" s="91" t="s">
        <v>93</v>
      </c>
      <c r="G9" s="91" t="s">
        <v>116</v>
      </c>
      <c r="H9" s="39"/>
      <c r="I9" s="39"/>
      <c r="J9" s="39"/>
      <c r="K9" s="39"/>
    </row>
    <row r="10" spans="1:11" x14ac:dyDescent="0.35">
      <c r="A10" s="91"/>
      <c r="B10" s="91" t="s">
        <v>6</v>
      </c>
      <c r="C10" s="91" t="s">
        <v>7</v>
      </c>
      <c r="D10" s="91" t="s">
        <v>8</v>
      </c>
      <c r="E10" s="91" t="s">
        <v>9</v>
      </c>
      <c r="G10" s="91"/>
      <c r="H10" s="91" t="s">
        <v>6</v>
      </c>
      <c r="I10" s="91" t="s">
        <v>7</v>
      </c>
      <c r="J10" s="91" t="s">
        <v>8</v>
      </c>
      <c r="K10" s="91" t="s">
        <v>9</v>
      </c>
    </row>
    <row r="11" spans="1:11" x14ac:dyDescent="0.35">
      <c r="A11" s="91" t="s">
        <v>38</v>
      </c>
      <c r="B11" s="257">
        <f ca="1">Data!J50</f>
        <v>41</v>
      </c>
      <c r="C11" s="264">
        <f ca="1">Data!J101</f>
        <v>55</v>
      </c>
      <c r="D11" s="264">
        <f>Data!J1150</f>
        <v>0</v>
      </c>
      <c r="E11" s="257" t="str">
        <f ca="1">Data!J203</f>
        <v>No data</v>
      </c>
      <c r="G11" s="91" t="s">
        <v>38</v>
      </c>
      <c r="H11" s="264">
        <f ca="1">Data!J25</f>
        <v>31</v>
      </c>
      <c r="I11" s="264">
        <f ca="1">Data!J76</f>
        <v>35</v>
      </c>
      <c r="J11" s="264">
        <f ca="1">Data!J127</f>
        <v>126</v>
      </c>
      <c r="K11" s="264" t="str">
        <f ca="1">Data!J178</f>
        <v>No data</v>
      </c>
    </row>
    <row r="12" spans="1:11" x14ac:dyDescent="0.35">
      <c r="A12" s="91" t="s">
        <v>39</v>
      </c>
      <c r="B12" s="257">
        <f ca="1">Data!K50</f>
        <v>114</v>
      </c>
      <c r="C12" s="264">
        <f ca="1">Data!K101</f>
        <v>107</v>
      </c>
      <c r="D12" s="264">
        <f ca="1">Data!K152</f>
        <v>108</v>
      </c>
      <c r="E12" s="257" t="str">
        <f ca="1">Data!K203</f>
        <v>No data</v>
      </c>
      <c r="G12" s="91" t="s">
        <v>39</v>
      </c>
      <c r="H12" s="264">
        <f ca="1">Data!K25</f>
        <v>69</v>
      </c>
      <c r="I12" s="264">
        <f ca="1">Data!K76</f>
        <v>55</v>
      </c>
      <c r="J12" s="264">
        <f ca="1">Data!K127</f>
        <v>100</v>
      </c>
      <c r="K12" s="264" t="str">
        <f ca="1">Data!K178</f>
        <v>No data</v>
      </c>
    </row>
    <row r="13" spans="1:11" x14ac:dyDescent="0.35">
      <c r="A13" s="91" t="s">
        <v>40</v>
      </c>
      <c r="B13" s="257">
        <f ca="1">Data!L50</f>
        <v>99</v>
      </c>
      <c r="C13" s="264">
        <f ca="1">Data!L101</f>
        <v>137</v>
      </c>
      <c r="D13" s="264">
        <f ca="1">Data!L152</f>
        <v>176</v>
      </c>
      <c r="E13" s="257" t="str">
        <f ca="1">Data!L203</f>
        <v>No data</v>
      </c>
      <c r="G13" s="91" t="s">
        <v>40</v>
      </c>
      <c r="H13" s="264">
        <f ca="1">Data!L25</f>
        <v>42</v>
      </c>
      <c r="I13" s="264">
        <f ca="1">Data!L76</f>
        <v>67</v>
      </c>
      <c r="J13" s="264">
        <f ca="1">Data!L127</f>
        <v>58</v>
      </c>
      <c r="K13" s="264" t="str">
        <f ca="1">Data!L178</f>
        <v>No data</v>
      </c>
    </row>
    <row r="15" spans="1:11" x14ac:dyDescent="0.35">
      <c r="A15" s="91" t="s">
        <v>94</v>
      </c>
      <c r="B15" s="39"/>
      <c r="C15" s="39"/>
      <c r="D15" s="39"/>
      <c r="E15" s="39"/>
      <c r="G15" s="91" t="s">
        <v>117</v>
      </c>
      <c r="H15" s="39"/>
      <c r="I15" s="39"/>
      <c r="J15" s="39"/>
      <c r="K15" s="39"/>
    </row>
    <row r="16" spans="1:11" x14ac:dyDescent="0.35">
      <c r="A16" s="91"/>
      <c r="B16" s="91" t="s">
        <v>6</v>
      </c>
      <c r="C16" s="91" t="s">
        <v>7</v>
      </c>
      <c r="D16" s="91" t="s">
        <v>8</v>
      </c>
      <c r="E16" s="91" t="s">
        <v>9</v>
      </c>
      <c r="G16" s="91"/>
      <c r="H16" s="91" t="s">
        <v>6</v>
      </c>
      <c r="I16" s="91" t="s">
        <v>7</v>
      </c>
      <c r="J16" s="91" t="s">
        <v>8</v>
      </c>
      <c r="K16" s="91" t="s">
        <v>9</v>
      </c>
    </row>
    <row r="17" spans="1:11" x14ac:dyDescent="0.35">
      <c r="A17" s="91" t="s">
        <v>38</v>
      </c>
      <c r="B17" s="257">
        <f ca="1">Data!P50</f>
        <v>65</v>
      </c>
      <c r="C17" s="257">
        <f ca="1">Data!P101</f>
        <v>31</v>
      </c>
      <c r="D17" s="257">
        <f ca="1">Data!P152</f>
        <v>43</v>
      </c>
      <c r="E17" s="257" t="str">
        <f ca="1">Data!P203</f>
        <v>No data</v>
      </c>
      <c r="G17" s="91" t="s">
        <v>38</v>
      </c>
      <c r="H17" s="264">
        <f ca="1">Data!P25</f>
        <v>0</v>
      </c>
      <c r="I17" s="264">
        <f ca="1">Data!P76</f>
        <v>0</v>
      </c>
      <c r="J17" s="264">
        <f ca="1">Data!P127</f>
        <v>0</v>
      </c>
      <c r="K17" s="264" t="str">
        <f ca="1">Data!P178</f>
        <v>No data</v>
      </c>
    </row>
    <row r="18" spans="1:11" x14ac:dyDescent="0.35">
      <c r="A18" s="91" t="s">
        <v>39</v>
      </c>
      <c r="B18" s="257">
        <f ca="1">Data!Q50</f>
        <v>104</v>
      </c>
      <c r="C18" s="257">
        <f ca="1">Data!Q101</f>
        <v>114</v>
      </c>
      <c r="D18" s="257">
        <f ca="1">Data!Q152</f>
        <v>61</v>
      </c>
      <c r="E18" s="257" t="str">
        <f ca="1">Data!Q203</f>
        <v>No data</v>
      </c>
      <c r="G18" s="91" t="s">
        <v>39</v>
      </c>
      <c r="H18" s="264">
        <f ca="1">Data!Q25</f>
        <v>0</v>
      </c>
      <c r="I18" s="264">
        <f ca="1">Data!Q76</f>
        <v>0</v>
      </c>
      <c r="J18" s="264">
        <f ca="1">Data!Q127</f>
        <v>0</v>
      </c>
      <c r="K18" s="264" t="str">
        <f ca="1">Data!Q178</f>
        <v>No data</v>
      </c>
    </row>
    <row r="19" spans="1:11" x14ac:dyDescent="0.35">
      <c r="A19" s="91" t="s">
        <v>40</v>
      </c>
      <c r="B19" s="257">
        <f ca="1">Data!R50</f>
        <v>26</v>
      </c>
      <c r="C19" s="257">
        <f ca="1">Data!R101</f>
        <v>48</v>
      </c>
      <c r="D19" s="257">
        <f ca="1">Data!R152</f>
        <v>72</v>
      </c>
      <c r="E19" s="257" t="str">
        <f ca="1">Data!R203</f>
        <v>No data</v>
      </c>
      <c r="G19" s="91" t="s">
        <v>40</v>
      </c>
      <c r="H19" s="264">
        <f ca="1">Data!R25</f>
        <v>0</v>
      </c>
      <c r="I19" s="264">
        <f ca="1">Data!R76</f>
        <v>0</v>
      </c>
      <c r="J19" s="264">
        <f ca="1">Data!R127</f>
        <v>0</v>
      </c>
      <c r="K19" s="264" t="str">
        <f ca="1">Data!R178</f>
        <v>No data</v>
      </c>
    </row>
    <row r="20" spans="1:11" s="50" customFormat="1" x14ac:dyDescent="0.35"/>
    <row r="21" spans="1:11" x14ac:dyDescent="0.35">
      <c r="A21" s="91" t="s">
        <v>95</v>
      </c>
      <c r="G21" s="91" t="s">
        <v>118</v>
      </c>
      <c r="H21" s="39"/>
      <c r="I21" s="39"/>
      <c r="J21" s="39"/>
      <c r="K21" s="39"/>
    </row>
    <row r="22" spans="1:11" x14ac:dyDescent="0.35">
      <c r="A22" s="91"/>
      <c r="B22" s="91" t="s">
        <v>6</v>
      </c>
      <c r="C22" s="91" t="s">
        <v>7</v>
      </c>
      <c r="D22" s="91" t="s">
        <v>8</v>
      </c>
      <c r="E22" s="91" t="s">
        <v>9</v>
      </c>
      <c r="G22" s="91"/>
      <c r="H22" s="91" t="s">
        <v>6</v>
      </c>
      <c r="I22" s="91" t="s">
        <v>7</v>
      </c>
      <c r="J22" s="91" t="s">
        <v>8</v>
      </c>
      <c r="K22" s="91" t="s">
        <v>9</v>
      </c>
    </row>
    <row r="23" spans="1:11" x14ac:dyDescent="0.35">
      <c r="A23" s="91" t="s">
        <v>13</v>
      </c>
      <c r="B23" s="263">
        <f ca="1">Data!U50</f>
        <v>0.107</v>
      </c>
      <c r="C23" s="263">
        <f ca="1">Data!U101</f>
        <v>0.13</v>
      </c>
      <c r="D23" s="263">
        <f ca="1">Data!U152</f>
        <v>0.15</v>
      </c>
      <c r="E23" s="263" t="str">
        <f ca="1">Data!U203</f>
        <v>No data</v>
      </c>
      <c r="G23" s="91" t="s">
        <v>13</v>
      </c>
      <c r="H23" s="263">
        <f ca="1">Data!U25</f>
        <v>0.05</v>
      </c>
      <c r="I23" s="263">
        <f ca="1">Data!U76</f>
        <v>0.08</v>
      </c>
      <c r="J23" s="263">
        <f ca="1">Data!U127</f>
        <v>0</v>
      </c>
      <c r="K23" s="263" t="str">
        <f ca="1">Data!U178</f>
        <v>No data</v>
      </c>
    </row>
    <row r="24" spans="1:11" x14ac:dyDescent="0.35">
      <c r="A24" s="91" t="s">
        <v>21</v>
      </c>
      <c r="B24" s="263">
        <f ca="1">Data!V50</f>
        <v>6.8000000000000005E-2</v>
      </c>
      <c r="C24" s="263">
        <f ca="1">Data!V101</f>
        <v>7.0000000000000007E-2</v>
      </c>
      <c r="D24" s="263">
        <f ca="1">Data!V152</f>
        <v>0.13</v>
      </c>
      <c r="E24" s="263" t="str">
        <f ca="1">Data!V203</f>
        <v>No data</v>
      </c>
      <c r="G24" s="91" t="s">
        <v>21</v>
      </c>
      <c r="H24" s="263">
        <f ca="1">Data!V25</f>
        <v>0</v>
      </c>
      <c r="I24" s="263">
        <f ca="1">Data!V76</f>
        <v>0</v>
      </c>
      <c r="J24" s="263">
        <f ca="1">Data!V127</f>
        <v>0.09</v>
      </c>
      <c r="K24" s="263" t="str">
        <f ca="1">Data!V178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workbookViewId="0">
      <selection activeCell="F27" sqref="F27"/>
    </sheetView>
  </sheetViews>
  <sheetFormatPr defaultRowHeight="14.5" x14ac:dyDescent="0.35"/>
  <cols>
    <col min="2" max="2" width="62.7265625" customWidth="1"/>
    <col min="3" max="3" width="9.81640625" bestFit="1" customWidth="1"/>
    <col min="7" max="7" width="16.81640625" customWidth="1"/>
    <col min="11" max="11" width="16.1796875" customWidth="1"/>
  </cols>
  <sheetData>
    <row r="1" spans="1:11" ht="15.5" x14ac:dyDescent="0.35">
      <c r="A1">
        <v>1</v>
      </c>
      <c r="B1" s="269" t="s">
        <v>195</v>
      </c>
      <c r="C1" s="39" t="s">
        <v>24</v>
      </c>
      <c r="G1" s="40" t="s">
        <v>115</v>
      </c>
      <c r="K1" s="308" t="s">
        <v>55</v>
      </c>
    </row>
    <row r="2" spans="1:11" ht="15.5" x14ac:dyDescent="0.35">
      <c r="A2">
        <v>2</v>
      </c>
      <c r="B2" s="269" t="s">
        <v>196</v>
      </c>
      <c r="C2" s="39" t="s">
        <v>24</v>
      </c>
      <c r="G2" t="s">
        <v>15</v>
      </c>
      <c r="H2" t="s">
        <v>52</v>
      </c>
      <c r="K2" s="134">
        <v>124</v>
      </c>
    </row>
    <row r="3" spans="1:11" ht="15.5" x14ac:dyDescent="0.35">
      <c r="A3" s="39">
        <v>3</v>
      </c>
      <c r="B3" s="269" t="s">
        <v>197</v>
      </c>
      <c r="C3" s="39" t="s">
        <v>24</v>
      </c>
      <c r="G3" t="s">
        <v>16</v>
      </c>
      <c r="H3" t="s">
        <v>51</v>
      </c>
      <c r="K3" s="134">
        <v>40</v>
      </c>
    </row>
    <row r="4" spans="1:11" ht="15.5" x14ac:dyDescent="0.35">
      <c r="A4" s="39">
        <v>4</v>
      </c>
      <c r="B4" s="269" t="s">
        <v>198</v>
      </c>
      <c r="C4" t="s">
        <v>24</v>
      </c>
      <c r="H4" t="s">
        <v>53</v>
      </c>
      <c r="K4" s="135">
        <v>85</v>
      </c>
    </row>
    <row r="5" spans="1:11" s="39" customFormat="1" ht="15.5" x14ac:dyDescent="0.35">
      <c r="A5" s="39">
        <v>5</v>
      </c>
      <c r="B5" s="269" t="s">
        <v>199</v>
      </c>
      <c r="C5" s="39" t="s">
        <v>24</v>
      </c>
      <c r="H5" s="39" t="s">
        <v>54</v>
      </c>
    </row>
    <row r="6" spans="1:11" s="39" customFormat="1" ht="15.5" x14ac:dyDescent="0.35">
      <c r="A6" s="39">
        <v>6</v>
      </c>
      <c r="B6" s="269" t="s">
        <v>202</v>
      </c>
      <c r="C6" s="39" t="s">
        <v>24</v>
      </c>
    </row>
    <row r="7" spans="1:11" s="39" customFormat="1" ht="15.5" x14ac:dyDescent="0.35">
      <c r="A7" s="39">
        <v>7</v>
      </c>
      <c r="B7" s="269" t="s">
        <v>203</v>
      </c>
      <c r="C7" s="39" t="s">
        <v>24</v>
      </c>
    </row>
    <row r="8" spans="1:11" s="39" customFormat="1" ht="15.5" x14ac:dyDescent="0.35">
      <c r="A8" s="39">
        <v>8</v>
      </c>
      <c r="B8" s="270" t="s">
        <v>200</v>
      </c>
      <c r="C8" s="39" t="s">
        <v>24</v>
      </c>
    </row>
    <row r="9" spans="1:11" s="39" customFormat="1" ht="15.5" x14ac:dyDescent="0.35">
      <c r="A9" s="39">
        <v>9</v>
      </c>
      <c r="B9" s="269" t="s">
        <v>82</v>
      </c>
      <c r="C9" s="39" t="s">
        <v>24</v>
      </c>
    </row>
    <row r="10" spans="1:11" s="39" customFormat="1" ht="15.5" x14ac:dyDescent="0.35">
      <c r="A10" s="39">
        <v>10</v>
      </c>
      <c r="B10" s="269" t="s">
        <v>83</v>
      </c>
      <c r="C10" s="39" t="s">
        <v>24</v>
      </c>
    </row>
    <row r="11" spans="1:11" s="39" customFormat="1" ht="15.5" x14ac:dyDescent="0.35">
      <c r="A11" s="39">
        <v>11</v>
      </c>
      <c r="B11" s="269" t="s">
        <v>201</v>
      </c>
      <c r="C11" s="39" t="s">
        <v>24</v>
      </c>
    </row>
    <row r="12" spans="1:11" s="39" customFormat="1" ht="15.5" x14ac:dyDescent="0.35">
      <c r="A12" s="39">
        <v>12</v>
      </c>
      <c r="B12" s="269" t="s">
        <v>84</v>
      </c>
      <c r="C12" s="39" t="s">
        <v>24</v>
      </c>
    </row>
    <row r="13" spans="1:11" s="39" customFormat="1" ht="15.5" x14ac:dyDescent="0.35">
      <c r="A13" s="39">
        <v>13</v>
      </c>
      <c r="B13" s="269" t="s">
        <v>74</v>
      </c>
      <c r="C13" s="39" t="s">
        <v>24</v>
      </c>
    </row>
    <row r="14" spans="1:11" s="39" customFormat="1" ht="15.5" x14ac:dyDescent="0.35">
      <c r="A14" s="39">
        <v>14</v>
      </c>
      <c r="B14" s="269" t="s">
        <v>86</v>
      </c>
      <c r="C14" s="39" t="s">
        <v>24</v>
      </c>
    </row>
    <row r="15" spans="1:11" s="39" customFormat="1" ht="15.5" x14ac:dyDescent="0.35">
      <c r="A15" s="39">
        <v>15</v>
      </c>
      <c r="B15" s="269" t="s">
        <v>60</v>
      </c>
      <c r="C15" s="39" t="s">
        <v>24</v>
      </c>
    </row>
    <row r="16" spans="1:11" s="39" customFormat="1" ht="15.5" x14ac:dyDescent="0.35">
      <c r="A16" s="39">
        <v>16</v>
      </c>
      <c r="B16" s="269" t="s">
        <v>75</v>
      </c>
      <c r="C16" s="39" t="s">
        <v>24</v>
      </c>
    </row>
    <row r="17" spans="1:3" s="39" customFormat="1" ht="15.5" x14ac:dyDescent="0.35">
      <c r="A17" s="39">
        <v>17</v>
      </c>
      <c r="B17" s="269" t="s">
        <v>70</v>
      </c>
      <c r="C17" s="39" t="s">
        <v>24</v>
      </c>
    </row>
    <row r="18" spans="1:3" s="39" customFormat="1" ht="15.5" x14ac:dyDescent="0.35">
      <c r="A18" s="39">
        <v>18</v>
      </c>
      <c r="B18" s="269" t="s">
        <v>87</v>
      </c>
      <c r="C18" s="39" t="s">
        <v>24</v>
      </c>
    </row>
    <row r="19" spans="1:3" s="39" customFormat="1" x14ac:dyDescent="0.35">
      <c r="A19"/>
      <c r="B19" s="4">
        <v>1</v>
      </c>
      <c r="C19"/>
    </row>
    <row r="22" spans="1:3" ht="15.5" x14ac:dyDescent="0.35">
      <c r="A22" s="39">
        <v>1</v>
      </c>
      <c r="B22" s="269" t="s">
        <v>195</v>
      </c>
      <c r="C22" s="39" t="s">
        <v>27</v>
      </c>
    </row>
    <row r="23" spans="1:3" ht="15.5" x14ac:dyDescent="0.35">
      <c r="A23" s="39">
        <v>2</v>
      </c>
      <c r="B23" s="269" t="s">
        <v>196</v>
      </c>
      <c r="C23" s="39" t="s">
        <v>27</v>
      </c>
    </row>
    <row r="24" spans="1:3" ht="15.5" x14ac:dyDescent="0.35">
      <c r="A24" s="39">
        <v>3</v>
      </c>
      <c r="B24" s="269" t="s">
        <v>197</v>
      </c>
      <c r="C24" s="39" t="s">
        <v>27</v>
      </c>
    </row>
    <row r="25" spans="1:3" ht="15.5" x14ac:dyDescent="0.35">
      <c r="A25" s="39">
        <v>4</v>
      </c>
      <c r="B25" s="269" t="s">
        <v>198</v>
      </c>
      <c r="C25" s="39" t="s">
        <v>27</v>
      </c>
    </row>
    <row r="26" spans="1:3" ht="15.5" x14ac:dyDescent="0.35">
      <c r="A26" s="39">
        <v>5</v>
      </c>
      <c r="B26" s="269" t="s">
        <v>199</v>
      </c>
      <c r="C26" s="39" t="s">
        <v>27</v>
      </c>
    </row>
    <row r="27" spans="1:3" ht="15.5" x14ac:dyDescent="0.35">
      <c r="A27" s="39">
        <v>6</v>
      </c>
      <c r="B27" s="269" t="s">
        <v>202</v>
      </c>
      <c r="C27" s="39" t="s">
        <v>27</v>
      </c>
    </row>
    <row r="28" spans="1:3" ht="15.5" x14ac:dyDescent="0.35">
      <c r="A28" s="39">
        <v>7</v>
      </c>
      <c r="B28" s="269" t="s">
        <v>203</v>
      </c>
      <c r="C28" s="39" t="s">
        <v>27</v>
      </c>
    </row>
    <row r="29" spans="1:3" ht="15.5" x14ac:dyDescent="0.35">
      <c r="A29" s="39">
        <v>8</v>
      </c>
      <c r="B29" s="269" t="s">
        <v>200</v>
      </c>
      <c r="C29" s="39" t="s">
        <v>27</v>
      </c>
    </row>
    <row r="30" spans="1:3" ht="15.5" x14ac:dyDescent="0.35">
      <c r="A30" s="39">
        <v>9</v>
      </c>
      <c r="B30" s="269" t="s">
        <v>82</v>
      </c>
      <c r="C30" s="39" t="s">
        <v>27</v>
      </c>
    </row>
    <row r="31" spans="1:3" ht="15.5" x14ac:dyDescent="0.35">
      <c r="A31" s="39">
        <v>10</v>
      </c>
      <c r="B31" s="269" t="s">
        <v>83</v>
      </c>
      <c r="C31" s="39" t="s">
        <v>27</v>
      </c>
    </row>
    <row r="32" spans="1:3" ht="15.5" x14ac:dyDescent="0.35">
      <c r="A32" s="39">
        <v>11</v>
      </c>
      <c r="B32" s="269" t="s">
        <v>201</v>
      </c>
      <c r="C32" s="39" t="s">
        <v>27</v>
      </c>
    </row>
    <row r="33" spans="1:3" ht="15.5" x14ac:dyDescent="0.35">
      <c r="A33" s="39">
        <v>12</v>
      </c>
      <c r="B33" s="269" t="s">
        <v>84</v>
      </c>
      <c r="C33" s="39" t="s">
        <v>27</v>
      </c>
    </row>
    <row r="34" spans="1:3" ht="15.5" x14ac:dyDescent="0.35">
      <c r="A34" s="39">
        <v>13</v>
      </c>
      <c r="B34" s="269" t="s">
        <v>74</v>
      </c>
      <c r="C34" s="39" t="s">
        <v>27</v>
      </c>
    </row>
    <row r="35" spans="1:3" ht="15.5" x14ac:dyDescent="0.35">
      <c r="A35" s="39">
        <v>14</v>
      </c>
      <c r="B35" s="269" t="s">
        <v>86</v>
      </c>
      <c r="C35" s="39" t="s">
        <v>27</v>
      </c>
    </row>
    <row r="36" spans="1:3" ht="15.5" x14ac:dyDescent="0.35">
      <c r="A36" s="39">
        <v>15</v>
      </c>
      <c r="B36" s="269" t="s">
        <v>60</v>
      </c>
      <c r="C36" s="39" t="s">
        <v>27</v>
      </c>
    </row>
    <row r="37" spans="1:3" ht="15.5" x14ac:dyDescent="0.35">
      <c r="A37" s="39">
        <v>16</v>
      </c>
      <c r="B37" s="269" t="s">
        <v>75</v>
      </c>
      <c r="C37" s="39" t="s">
        <v>27</v>
      </c>
    </row>
    <row r="38" spans="1:3" ht="15.5" x14ac:dyDescent="0.35">
      <c r="A38" s="39">
        <v>17</v>
      </c>
      <c r="B38" s="269" t="s">
        <v>70</v>
      </c>
      <c r="C38" s="39" t="s">
        <v>27</v>
      </c>
    </row>
    <row r="39" spans="1:3" ht="15.5" x14ac:dyDescent="0.35">
      <c r="A39" s="39">
        <v>18</v>
      </c>
      <c r="B39" s="269" t="s">
        <v>87</v>
      </c>
      <c r="C39" s="39" t="s">
        <v>27</v>
      </c>
    </row>
    <row r="40" spans="1:3" x14ac:dyDescent="0.35">
      <c r="B40" s="4">
        <v>13</v>
      </c>
    </row>
    <row r="41" spans="1:3" s="39" customFormat="1" x14ac:dyDescent="0.35">
      <c r="A41"/>
      <c r="B41"/>
      <c r="C41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50800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57150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3"/>
  <sheetViews>
    <sheetView showGridLines="0" zoomScaleNormal="100" workbookViewId="0">
      <selection activeCell="F29" sqref="F29:G29"/>
    </sheetView>
  </sheetViews>
  <sheetFormatPr defaultColWidth="0" defaultRowHeight="0" customHeight="1" zeroHeight="1" x14ac:dyDescent="0.35"/>
  <cols>
    <col min="1" max="1" width="4" style="39" customWidth="1"/>
    <col min="2" max="2" width="60.1796875" style="39" customWidth="1"/>
    <col min="3" max="3" width="11.7265625" style="39" customWidth="1"/>
    <col min="4" max="4" width="7.7265625" style="39" customWidth="1"/>
    <col min="5" max="5" width="10" style="39" customWidth="1"/>
    <col min="6" max="7" width="12" style="39" customWidth="1"/>
    <col min="8" max="8" width="5.1796875" style="147" customWidth="1"/>
    <col min="9" max="9" width="6.81640625" style="39" customWidth="1"/>
    <col min="10" max="10" width="5.1796875" style="147" customWidth="1"/>
    <col min="11" max="11" width="6.81640625" style="39" customWidth="1"/>
    <col min="12" max="12" width="5.1796875" style="147" customWidth="1"/>
    <col min="13" max="13" width="6.81640625" style="39" customWidth="1"/>
    <col min="14" max="14" width="5.1796875" style="147" customWidth="1"/>
    <col min="15" max="15" width="6.81640625" style="39" customWidth="1"/>
    <col min="16" max="16" width="11.54296875" style="39" customWidth="1"/>
    <col min="17" max="17" width="5.1796875" style="147" customWidth="1"/>
    <col min="18" max="18" width="6.81640625" style="39" customWidth="1"/>
    <col min="19" max="19" width="5.1796875" style="147" customWidth="1"/>
    <col min="20" max="20" width="6.81640625" style="39" customWidth="1"/>
    <col min="21" max="21" width="5.1796875" style="147" customWidth="1"/>
    <col min="22" max="22" width="6.81640625" style="39" customWidth="1"/>
    <col min="23" max="23" width="5.1796875" style="147" customWidth="1"/>
    <col min="24" max="24" width="6.81640625" style="39" customWidth="1"/>
    <col min="25" max="25" width="11.54296875" style="39" customWidth="1"/>
    <col min="26" max="27" width="10.7265625" style="39" customWidth="1"/>
    <col min="28" max="28" width="9.1796875" style="39" customWidth="1"/>
    <col min="29" max="30" width="0" style="39" hidden="1" customWidth="1"/>
    <col min="31" max="16384" width="9.1796875" style="39" hidden="1"/>
  </cols>
  <sheetData>
    <row r="1" spans="1:28" ht="35.25" customHeight="1" x14ac:dyDescent="0.35">
      <c r="A1" s="15"/>
      <c r="B1" s="118" t="s">
        <v>127</v>
      </c>
      <c r="C1" s="100"/>
      <c r="D1" s="100"/>
      <c r="E1" s="100"/>
      <c r="F1" s="100"/>
      <c r="G1" s="100"/>
      <c r="H1" s="141"/>
      <c r="I1" s="100"/>
      <c r="J1" s="141"/>
      <c r="K1" s="100"/>
      <c r="L1" s="141"/>
      <c r="M1" s="100"/>
      <c r="N1" s="141"/>
      <c r="O1" s="100"/>
      <c r="P1" s="100"/>
      <c r="Q1" s="141"/>
      <c r="R1" s="100"/>
      <c r="S1" s="141"/>
      <c r="T1" s="100"/>
      <c r="U1" s="141"/>
      <c r="V1" s="100"/>
      <c r="W1" s="141"/>
      <c r="X1" s="100"/>
      <c r="Y1" s="100"/>
      <c r="Z1" s="100"/>
      <c r="AA1" s="100"/>
      <c r="AB1" s="100"/>
    </row>
    <row r="2" spans="1:28" s="50" customFormat="1" ht="5.15" customHeight="1" x14ac:dyDescent="0.35">
      <c r="B2" s="148"/>
      <c r="C2" s="149"/>
      <c r="D2" s="149"/>
      <c r="E2" s="149"/>
      <c r="F2" s="149"/>
      <c r="G2" s="149"/>
      <c r="H2" s="150"/>
      <c r="I2" s="149"/>
      <c r="J2" s="150"/>
      <c r="K2" s="149"/>
      <c r="L2" s="150"/>
      <c r="M2" s="149"/>
      <c r="N2" s="150"/>
      <c r="O2" s="149"/>
      <c r="P2" s="149"/>
      <c r="Q2" s="150"/>
      <c r="R2" s="149"/>
      <c r="S2" s="150"/>
      <c r="T2" s="149"/>
      <c r="U2" s="150"/>
      <c r="V2" s="149"/>
      <c r="W2" s="150"/>
      <c r="X2" s="149"/>
      <c r="Y2" s="149"/>
      <c r="AB2" s="149"/>
    </row>
    <row r="3" spans="1:28" s="114" customFormat="1" ht="31.5" customHeight="1" x14ac:dyDescent="0.45">
      <c r="B3" s="501" t="s">
        <v>121</v>
      </c>
      <c r="C3" s="115"/>
      <c r="D3" s="115"/>
      <c r="E3" s="115"/>
      <c r="F3" s="115"/>
      <c r="H3" s="142"/>
      <c r="I3" s="115"/>
      <c r="J3" s="142"/>
      <c r="K3" s="115"/>
      <c r="L3" s="142"/>
      <c r="M3" s="116"/>
      <c r="N3" s="142"/>
      <c r="O3" s="116"/>
      <c r="P3" s="116"/>
      <c r="Q3" s="142"/>
      <c r="R3" s="116"/>
      <c r="S3" s="142"/>
      <c r="T3" s="116"/>
      <c r="U3" s="142"/>
      <c r="V3" s="116"/>
      <c r="W3" s="142"/>
      <c r="X3" s="116"/>
      <c r="Y3" s="116"/>
      <c r="Z3" s="115"/>
      <c r="AA3" s="117"/>
    </row>
    <row r="4" spans="1:28" ht="35.5" customHeight="1" thickBot="1" x14ac:dyDescent="0.6">
      <c r="B4" s="152" t="s">
        <v>191</v>
      </c>
      <c r="C4" s="18"/>
      <c r="D4" s="18"/>
      <c r="E4" s="18"/>
      <c r="F4" s="51"/>
      <c r="G4" s="18"/>
      <c r="H4" s="143"/>
      <c r="I4" s="18"/>
      <c r="J4" s="143"/>
      <c r="K4" s="18"/>
      <c r="L4" s="143"/>
      <c r="M4" s="19"/>
      <c r="N4" s="143"/>
      <c r="O4" s="19"/>
      <c r="P4" s="19"/>
      <c r="Q4" s="143"/>
      <c r="R4" s="19"/>
      <c r="S4" s="143"/>
      <c r="T4" s="19"/>
      <c r="U4" s="143"/>
      <c r="V4" s="19"/>
      <c r="W4" s="143"/>
      <c r="X4" s="19"/>
      <c r="Y4" s="19"/>
      <c r="Z4" s="18"/>
      <c r="AA4" s="20"/>
    </row>
    <row r="5" spans="1:28" ht="30.75" customHeight="1" thickTop="1" thickBot="1" x14ac:dyDescent="0.4">
      <c r="B5" s="372" t="s">
        <v>18</v>
      </c>
      <c r="C5" s="373" t="s">
        <v>22</v>
      </c>
      <c r="D5" s="373" t="s">
        <v>91</v>
      </c>
      <c r="E5" s="373" t="s">
        <v>23</v>
      </c>
      <c r="F5" s="333" t="s">
        <v>28</v>
      </c>
      <c r="G5" s="334"/>
      <c r="H5" s="333" t="s">
        <v>31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3" t="s">
        <v>4</v>
      </c>
      <c r="AA5" s="334"/>
    </row>
    <row r="6" spans="1:28" ht="44.15" customHeight="1" thickTop="1" thickBot="1" x14ac:dyDescent="0.4">
      <c r="B6" s="372"/>
      <c r="C6" s="374"/>
      <c r="D6" s="374"/>
      <c r="E6" s="374"/>
      <c r="F6" s="335" t="s">
        <v>29</v>
      </c>
      <c r="G6" s="337" t="s">
        <v>30</v>
      </c>
      <c r="H6" s="333" t="s">
        <v>36</v>
      </c>
      <c r="I6" s="339"/>
      <c r="J6" s="339"/>
      <c r="K6" s="339"/>
      <c r="L6" s="339"/>
      <c r="M6" s="339"/>
      <c r="N6" s="339"/>
      <c r="O6" s="339"/>
      <c r="P6" s="339"/>
      <c r="Q6" s="333" t="s">
        <v>35</v>
      </c>
      <c r="R6" s="339"/>
      <c r="S6" s="339"/>
      <c r="T6" s="339"/>
      <c r="U6" s="339"/>
      <c r="V6" s="339"/>
      <c r="W6" s="339"/>
      <c r="X6" s="339"/>
      <c r="Y6" s="339"/>
      <c r="Z6" s="335" t="s">
        <v>13</v>
      </c>
      <c r="AA6" s="337" t="s">
        <v>21</v>
      </c>
    </row>
    <row r="7" spans="1:28" ht="49.5" customHeight="1" thickTop="1" thickBot="1" x14ac:dyDescent="0.4">
      <c r="B7" s="372"/>
      <c r="C7" s="375"/>
      <c r="D7" s="375"/>
      <c r="E7" s="375"/>
      <c r="F7" s="336"/>
      <c r="G7" s="338"/>
      <c r="H7" s="340" t="s">
        <v>146</v>
      </c>
      <c r="I7" s="341"/>
      <c r="J7" s="342" t="s">
        <v>32</v>
      </c>
      <c r="K7" s="342"/>
      <c r="L7" s="342" t="s">
        <v>33</v>
      </c>
      <c r="M7" s="342"/>
      <c r="N7" s="343" t="s">
        <v>34</v>
      </c>
      <c r="O7" s="342"/>
      <c r="P7" s="188" t="s">
        <v>147</v>
      </c>
      <c r="Q7" s="340" t="s">
        <v>146</v>
      </c>
      <c r="R7" s="341"/>
      <c r="S7" s="342" t="s">
        <v>32</v>
      </c>
      <c r="T7" s="342"/>
      <c r="U7" s="342" t="s">
        <v>33</v>
      </c>
      <c r="V7" s="342"/>
      <c r="W7" s="343" t="s">
        <v>34</v>
      </c>
      <c r="X7" s="342"/>
      <c r="Y7" s="188" t="s">
        <v>147</v>
      </c>
      <c r="Z7" s="336"/>
      <c r="AA7" s="338"/>
    </row>
    <row r="8" spans="1:28" s="13" customFormat="1" ht="21.75" customHeight="1" thickTop="1" thickBot="1" x14ac:dyDescent="0.4">
      <c r="B8" s="31" t="s">
        <v>201</v>
      </c>
      <c r="C8" s="31" t="s">
        <v>24</v>
      </c>
      <c r="D8" s="73">
        <v>1</v>
      </c>
      <c r="E8" s="31" t="s">
        <v>25</v>
      </c>
      <c r="F8" s="81">
        <f>INDEX(Q1_Adult,15,7)</f>
        <v>18</v>
      </c>
      <c r="G8" s="87">
        <f>INDEX(Q1_Adult,15,8)</f>
        <v>0</v>
      </c>
      <c r="H8" s="244">
        <f>INDEX(Q1_Adult,15,9)</f>
        <v>278</v>
      </c>
      <c r="I8" s="234">
        <f>IFERROR(H8/P8,0)</f>
        <v>0.70918367346938771</v>
      </c>
      <c r="J8" s="235">
        <f>INDEX(Q1_Adult,15,10)</f>
        <v>67</v>
      </c>
      <c r="K8" s="234">
        <f>IFERROR(J8/P8,0)</f>
        <v>0.17091836734693877</v>
      </c>
      <c r="L8" s="235">
        <f>INDEX(Q1_Adult,15,11)</f>
        <v>47</v>
      </c>
      <c r="M8" s="234">
        <f>IFERROR(L8/P8,0)</f>
        <v>0.11989795918367346</v>
      </c>
      <c r="N8" s="235">
        <f>INDEX(Q1_Adult,15,12)</f>
        <v>0</v>
      </c>
      <c r="O8" s="234">
        <f>IFERROR(N8/P8,0)</f>
        <v>0</v>
      </c>
      <c r="P8" s="236">
        <f>INDEX(Q1_Adult,15,13)</f>
        <v>392</v>
      </c>
      <c r="Q8" s="233">
        <f>INDEX(Q1_Adult,15,15)</f>
        <v>0</v>
      </c>
      <c r="R8" s="234">
        <f>IFERROR(Q8/Y8,0)</f>
        <v>0</v>
      </c>
      <c r="S8" s="235">
        <f>INDEX(Q1_Adult,15,16)</f>
        <v>0</v>
      </c>
      <c r="T8" s="234">
        <f>IFERROR(S8/Y8,0)</f>
        <v>0</v>
      </c>
      <c r="U8" s="237">
        <f>INDEX(Q1_Adult,15,17)</f>
        <v>0</v>
      </c>
      <c r="V8" s="234">
        <f>IFERROR(U8/Y8,0)</f>
        <v>0</v>
      </c>
      <c r="W8" s="235">
        <f>INDEX(Q1_Adult,15,18)</f>
        <v>0</v>
      </c>
      <c r="X8" s="234">
        <f>IFERROR(W8/Y8,0)</f>
        <v>0</v>
      </c>
      <c r="Y8" s="138">
        <f>INDEX(Q1_Adult,15,19)</f>
        <v>0</v>
      </c>
      <c r="Z8" s="83">
        <f>INDEX(Q1_Adult,15,21)</f>
        <v>0.14000000000000001</v>
      </c>
      <c r="AA8" s="84">
        <f>INDEX(Q1_Adult,15,22)</f>
        <v>0</v>
      </c>
    </row>
    <row r="9" spans="1:28" s="13" customFormat="1" ht="21.75" customHeight="1" thickTop="1" thickBot="1" x14ac:dyDescent="0.4">
      <c r="B9" s="32" t="s">
        <v>196</v>
      </c>
      <c r="C9" s="32" t="s">
        <v>24</v>
      </c>
      <c r="D9" s="74">
        <v>2</v>
      </c>
      <c r="E9" s="32" t="s">
        <v>26</v>
      </c>
      <c r="F9" s="82">
        <f>INDEX(Q1_Adult,6,7)</f>
        <v>12</v>
      </c>
      <c r="G9" s="88">
        <f>INDEX(Q1_Adult,6,8)</f>
        <v>0</v>
      </c>
      <c r="H9" s="238">
        <f>INDEX(Q1_Adult,6,9)</f>
        <v>34</v>
      </c>
      <c r="I9" s="239">
        <f>IFERROR(H9/P9,0)</f>
        <v>0.19101123595505617</v>
      </c>
      <c r="J9" s="240">
        <f>INDEX(Q1_Adult,6,10)</f>
        <v>37</v>
      </c>
      <c r="K9" s="239">
        <f>IFERROR(J9/P9,0)</f>
        <v>0.20786516853932585</v>
      </c>
      <c r="L9" s="240">
        <f>INDEX(Q1_Adult,6,11)</f>
        <v>79</v>
      </c>
      <c r="M9" s="239">
        <f>IFERROR(L9/P9,0)</f>
        <v>0.4438202247191011</v>
      </c>
      <c r="N9" s="240">
        <f>INDEX(Q1_Adult,6,12)</f>
        <v>28</v>
      </c>
      <c r="O9" s="239">
        <f>IFERROR(N9/P9,0)</f>
        <v>0.15730337078651685</v>
      </c>
      <c r="P9" s="241">
        <f>INDEX(Q1_Adult,6,13)</f>
        <v>178</v>
      </c>
      <c r="Q9" s="242">
        <f>INDEX(Q1_Adult,6,15)</f>
        <v>0</v>
      </c>
      <c r="R9" s="239">
        <f>IFERROR(Q9/Y9,0)</f>
        <v>0</v>
      </c>
      <c r="S9" s="240">
        <f>INDEX(Q1_Adult,6,16)</f>
        <v>0</v>
      </c>
      <c r="T9" s="239">
        <f>IFERROR(S9/Y9,0)</f>
        <v>0</v>
      </c>
      <c r="U9" s="243">
        <f>INDEX(Q1_Adult,6,17)</f>
        <v>0</v>
      </c>
      <c r="V9" s="239">
        <f>IFERROR(U9/Y9,0)</f>
        <v>0</v>
      </c>
      <c r="W9" s="240">
        <f>INDEX(Q1_Adult,6,18)</f>
        <v>0</v>
      </c>
      <c r="X9" s="239">
        <f>IFERROR(W9/Y9,0)</f>
        <v>0</v>
      </c>
      <c r="Y9" s="139">
        <f>INDEX(Q1_Adult,6,19)</f>
        <v>0</v>
      </c>
      <c r="Z9" s="85">
        <f>INDEX(Q1_Adult,6,21)</f>
        <v>0.255</v>
      </c>
      <c r="AA9" s="86">
        <f>INDEX(Q1_Adult,6,22)</f>
        <v>0</v>
      </c>
    </row>
    <row r="10" spans="1:28" s="99" customFormat="1" ht="21.75" customHeight="1" thickTop="1" thickBot="1" x14ac:dyDescent="0.4">
      <c r="B10" s="31" t="s">
        <v>195</v>
      </c>
      <c r="C10" s="31" t="s">
        <v>24</v>
      </c>
      <c r="D10" s="73">
        <v>3</v>
      </c>
      <c r="E10" s="31" t="s">
        <v>26</v>
      </c>
      <c r="F10" s="81">
        <f>INDEX(Q1_Adult,5,7)</f>
        <v>0</v>
      </c>
      <c r="G10" s="87">
        <f>INDEX(Q1_Adult,5,8)</f>
        <v>0</v>
      </c>
      <c r="H10" s="244">
        <f>INDEX(Q1_Adult,5,9)</f>
        <v>35</v>
      </c>
      <c r="I10" s="234">
        <f>IFERROR(H10/P10,0)</f>
        <v>0.19774011299435029</v>
      </c>
      <c r="J10" s="235">
        <f>INDEX(Q1_Adult,5,10)</f>
        <v>31</v>
      </c>
      <c r="K10" s="234">
        <f>IFERROR(J10/P10,0)</f>
        <v>0.1751412429378531</v>
      </c>
      <c r="L10" s="235">
        <f>INDEX(Q1_Adult,5,11)</f>
        <v>69</v>
      </c>
      <c r="M10" s="234">
        <f>IFERROR(L10/P10,0)</f>
        <v>0.38983050847457629</v>
      </c>
      <c r="N10" s="235">
        <f>INDEX(Q1_Adult,5,12)</f>
        <v>42</v>
      </c>
      <c r="O10" s="234">
        <f>IFERROR(N10/P10,0)</f>
        <v>0.23728813559322035</v>
      </c>
      <c r="P10" s="236">
        <f>INDEX(Q1_Adult,5,13)</f>
        <v>177</v>
      </c>
      <c r="Q10" s="233">
        <f>INDEX(Q1_Adult,5,15)</f>
        <v>0</v>
      </c>
      <c r="R10" s="234">
        <f>IFERROR(Q10/Y10,0)</f>
        <v>0</v>
      </c>
      <c r="S10" s="235">
        <f>INDEX(Q1_Adult,5,16)</f>
        <v>0</v>
      </c>
      <c r="T10" s="234">
        <f>IFERROR(S10/Y10,0)</f>
        <v>0</v>
      </c>
      <c r="U10" s="237">
        <f>INDEX(Q1_Adult,5,17)</f>
        <v>0</v>
      </c>
      <c r="V10" s="234">
        <f>IFERROR(U10/Y10,0)</f>
        <v>0</v>
      </c>
      <c r="W10" s="235">
        <f>INDEX(Q1_Adult,5,18)</f>
        <v>0</v>
      </c>
      <c r="X10" s="234">
        <f>IFERROR(W10/Y10,0)</f>
        <v>0</v>
      </c>
      <c r="Y10" s="138">
        <f>INDEX(Q1_Adult,5,19)</f>
        <v>0</v>
      </c>
      <c r="Z10" s="83">
        <f>INDEX(Q1_Adult,5,21)</f>
        <v>0.05</v>
      </c>
      <c r="AA10" s="84">
        <f>INDEX(Q1_Adult,5,22)</f>
        <v>0</v>
      </c>
    </row>
    <row r="11" spans="1:28" s="13" customFormat="1" ht="21.75" customHeight="1" thickTop="1" thickBot="1" x14ac:dyDescent="0.4">
      <c r="B11" s="32" t="s">
        <v>197</v>
      </c>
      <c r="C11" s="32" t="s">
        <v>24</v>
      </c>
      <c r="D11" s="74">
        <v>3</v>
      </c>
      <c r="E11" s="32" t="s">
        <v>26</v>
      </c>
      <c r="F11" s="82">
        <f>INDEX(Q1_Adult,7,7)</f>
        <v>0</v>
      </c>
      <c r="G11" s="88">
        <f>INDEX(Q1_Adult,7,8)</f>
        <v>52</v>
      </c>
      <c r="H11" s="238">
        <f>INDEX(Q1_Adult,7,9)</f>
        <v>0</v>
      </c>
      <c r="I11" s="239">
        <f t="shared" ref="I11:I25" si="0">IFERROR(H11/P11,0)</f>
        <v>0</v>
      </c>
      <c r="J11" s="240">
        <f>INDEX(Q1_Adult,7,10)</f>
        <v>0</v>
      </c>
      <c r="K11" s="239">
        <f t="shared" ref="K11:K25" si="1">IFERROR(J11/P11,0)</f>
        <v>0</v>
      </c>
      <c r="L11" s="240">
        <f>INDEX(Q1_Adult,7,11)</f>
        <v>0</v>
      </c>
      <c r="M11" s="239">
        <f t="shared" ref="M11:M25" si="2">IFERROR(L11/P11,0)</f>
        <v>0</v>
      </c>
      <c r="N11" s="240">
        <f>INDEX(Q1_Adult,7,12)</f>
        <v>0</v>
      </c>
      <c r="O11" s="239">
        <f t="shared" ref="O11:O25" si="3">IFERROR(N11/P11,0)</f>
        <v>0</v>
      </c>
      <c r="P11" s="241">
        <f>INDEX(Q1_Adult,7,13)</f>
        <v>0</v>
      </c>
      <c r="Q11" s="242">
        <f>INDEX(Q1_Adult,7,15)</f>
        <v>36</v>
      </c>
      <c r="R11" s="239">
        <f t="shared" ref="R11:R25" si="4">IFERROR(Q11/Y11,0)</f>
        <v>0.15062761506276151</v>
      </c>
      <c r="S11" s="240">
        <f>INDEX(Q1_Adult,7,16)</f>
        <v>50</v>
      </c>
      <c r="T11" s="239">
        <f t="shared" ref="T11:T25" si="5">IFERROR(S11/Y11,0)</f>
        <v>0.20920502092050208</v>
      </c>
      <c r="U11" s="243">
        <f>INDEX(Q1_Adult,7,17)</f>
        <v>92</v>
      </c>
      <c r="V11" s="239">
        <f t="shared" ref="V11:V25" si="6">IFERROR(U11/Y11,0)</f>
        <v>0.38493723849372385</v>
      </c>
      <c r="W11" s="240">
        <f>INDEX(Q1_Adult,7,18)</f>
        <v>61</v>
      </c>
      <c r="X11" s="239">
        <f t="shared" ref="X11:X25" si="7">IFERROR(W11/Y11,0)</f>
        <v>0.25523012552301255</v>
      </c>
      <c r="Y11" s="139">
        <f>INDEX(Q1_Adult,7,19)</f>
        <v>239</v>
      </c>
      <c r="Z11" s="85">
        <f>INDEX(Q1_Adult,7,21)</f>
        <v>0</v>
      </c>
      <c r="AA11" s="86">
        <f>INDEX(Q1_Adult,7,22)</f>
        <v>0.19</v>
      </c>
    </row>
    <row r="12" spans="1:28" s="13" customFormat="1" ht="21.75" customHeight="1" thickTop="1" thickBot="1" x14ac:dyDescent="0.4">
      <c r="B12" s="31" t="s">
        <v>198</v>
      </c>
      <c r="C12" s="31" t="s">
        <v>24</v>
      </c>
      <c r="D12" s="73">
        <v>3</v>
      </c>
      <c r="E12" s="31" t="s">
        <v>26</v>
      </c>
      <c r="F12" s="81">
        <f>INDEX(Q1_Adult,8,7)</f>
        <v>0</v>
      </c>
      <c r="G12" s="87">
        <f>INDEX(Q1_Adult,8,8)</f>
        <v>0</v>
      </c>
      <c r="H12" s="244">
        <f>INDEX(Q1_Adult,8,9)</f>
        <v>4</v>
      </c>
      <c r="I12" s="234">
        <f t="shared" si="0"/>
        <v>1</v>
      </c>
      <c r="J12" s="235">
        <f>INDEX(Q1_Adult,8,10)</f>
        <v>0</v>
      </c>
      <c r="K12" s="234">
        <f t="shared" si="1"/>
        <v>0</v>
      </c>
      <c r="L12" s="235">
        <f>INDEX(Q1_Adult,8,11)</f>
        <v>0</v>
      </c>
      <c r="M12" s="234">
        <f t="shared" si="2"/>
        <v>0</v>
      </c>
      <c r="N12" s="235">
        <f>INDEX(Q1_Adult,8,12)</f>
        <v>0</v>
      </c>
      <c r="O12" s="234">
        <f t="shared" si="3"/>
        <v>0</v>
      </c>
      <c r="P12" s="236">
        <f>INDEX(Q1_Adult,8,13)</f>
        <v>4</v>
      </c>
      <c r="Q12" s="233">
        <f>INDEX(Q1_Adult,8,15)</f>
        <v>0</v>
      </c>
      <c r="R12" s="234">
        <f t="shared" si="4"/>
        <v>0</v>
      </c>
      <c r="S12" s="235">
        <f>INDEX(Q1_Adult,8,16)</f>
        <v>0</v>
      </c>
      <c r="T12" s="234">
        <f t="shared" si="5"/>
        <v>0</v>
      </c>
      <c r="U12" s="237">
        <f>INDEX(Q1_Adult,8,17)</f>
        <v>0</v>
      </c>
      <c r="V12" s="234">
        <f t="shared" si="6"/>
        <v>0</v>
      </c>
      <c r="W12" s="235">
        <f>INDEX(Q1_Adult,8,18)</f>
        <v>0</v>
      </c>
      <c r="X12" s="234">
        <f t="shared" si="7"/>
        <v>0</v>
      </c>
      <c r="Y12" s="138">
        <f>INDEX(Q1_Adult,8,19)</f>
        <v>0</v>
      </c>
      <c r="Z12" s="83">
        <f>INDEX(Q1_Adult,8,21)</f>
        <v>0.05</v>
      </c>
      <c r="AA12" s="84">
        <f>INDEX(Q1_Adult,8,22)</f>
        <v>0</v>
      </c>
    </row>
    <row r="13" spans="1:28" s="13" customFormat="1" ht="21.75" customHeight="1" thickTop="1" thickBot="1" x14ac:dyDescent="0.4">
      <c r="B13" s="32" t="s">
        <v>199</v>
      </c>
      <c r="C13" s="32" t="s">
        <v>24</v>
      </c>
      <c r="D13" s="74">
        <v>3</v>
      </c>
      <c r="E13" s="32" t="s">
        <v>26</v>
      </c>
      <c r="F13" s="82">
        <f>INDEX(Q1_Adult,9,7)</f>
        <v>0</v>
      </c>
      <c r="G13" s="88">
        <f>INDEX(Q1_Adult,9,8)</f>
        <v>26</v>
      </c>
      <c r="H13" s="238">
        <f>INDEX(Q1_Adult,9,9)</f>
        <v>0</v>
      </c>
      <c r="I13" s="239">
        <f t="shared" si="0"/>
        <v>0</v>
      </c>
      <c r="J13" s="240">
        <f>INDEX(Q1_Adult,9,10)</f>
        <v>0</v>
      </c>
      <c r="K13" s="239">
        <f t="shared" si="1"/>
        <v>0</v>
      </c>
      <c r="L13" s="240">
        <f>INDEX(Q1_Adult,9,11)</f>
        <v>0</v>
      </c>
      <c r="M13" s="239">
        <f t="shared" si="2"/>
        <v>0</v>
      </c>
      <c r="N13" s="240">
        <f>INDEX(Q1_Adult,9,12)</f>
        <v>0</v>
      </c>
      <c r="O13" s="239">
        <f t="shared" si="3"/>
        <v>0</v>
      </c>
      <c r="P13" s="241">
        <f>INDEX(Q1_Adult,9,13)</f>
        <v>0</v>
      </c>
      <c r="Q13" s="242">
        <f>INDEX(Q1_Adult,9,15)</f>
        <v>0</v>
      </c>
      <c r="R13" s="239">
        <f t="shared" si="4"/>
        <v>0</v>
      </c>
      <c r="S13" s="240">
        <f>INDEX(Q1_Adult,9,16)</f>
        <v>0</v>
      </c>
      <c r="T13" s="239">
        <f t="shared" si="5"/>
        <v>0</v>
      </c>
      <c r="U13" s="243">
        <f>INDEX(Q1_Adult,9,17)</f>
        <v>0</v>
      </c>
      <c r="V13" s="239">
        <f t="shared" si="6"/>
        <v>0</v>
      </c>
      <c r="W13" s="240">
        <f>INDEX(Q1_Adult,9,18)</f>
        <v>0</v>
      </c>
      <c r="X13" s="239">
        <f t="shared" si="7"/>
        <v>0</v>
      </c>
      <c r="Y13" s="139">
        <f>INDEX(Q1_Adult,9,19)</f>
        <v>0</v>
      </c>
      <c r="Z13" s="85">
        <f>INDEX(Q1_Adult,9,21)</f>
        <v>0</v>
      </c>
      <c r="AA13" s="86">
        <f>INDEX(Q1_Adult,9,22)</f>
        <v>0</v>
      </c>
    </row>
    <row r="14" spans="1:28" s="13" customFormat="1" ht="21.75" customHeight="1" thickTop="1" thickBot="1" x14ac:dyDescent="0.4">
      <c r="B14" s="31" t="s">
        <v>202</v>
      </c>
      <c r="C14" s="31" t="s">
        <v>24</v>
      </c>
      <c r="D14" s="73">
        <v>3</v>
      </c>
      <c r="E14" s="31" t="s">
        <v>26</v>
      </c>
      <c r="F14" s="81">
        <f>INDEX(Q1_Adult,10,7)</f>
        <v>0</v>
      </c>
      <c r="G14" s="87">
        <f>INDEX(Q1_Adult,10,8)</f>
        <v>26</v>
      </c>
      <c r="H14" s="244">
        <f>INDEX(Q1_Adult,10,9)</f>
        <v>0</v>
      </c>
      <c r="I14" s="234">
        <f t="shared" si="0"/>
        <v>0</v>
      </c>
      <c r="J14" s="235">
        <f>INDEX(Q1_Adult,10,10)</f>
        <v>0</v>
      </c>
      <c r="K14" s="234">
        <f t="shared" si="1"/>
        <v>0</v>
      </c>
      <c r="L14" s="235">
        <f>INDEX(Q1_Adult,10,11)</f>
        <v>0</v>
      </c>
      <c r="M14" s="234">
        <f t="shared" si="2"/>
        <v>0</v>
      </c>
      <c r="N14" s="235">
        <f>INDEX(Q1_Adult,10,12)</f>
        <v>0</v>
      </c>
      <c r="O14" s="234">
        <f t="shared" si="3"/>
        <v>0</v>
      </c>
      <c r="P14" s="236">
        <f>INDEX(Q1_Adult,10,13)</f>
        <v>0</v>
      </c>
      <c r="Q14" s="233">
        <f>INDEX(Q1_Adult,10,15)</f>
        <v>38</v>
      </c>
      <c r="R14" s="234">
        <f t="shared" si="4"/>
        <v>0.2814814814814815</v>
      </c>
      <c r="S14" s="235">
        <f>INDEX(Q1_Adult,10,16)</f>
        <v>58</v>
      </c>
      <c r="T14" s="234">
        <f t="shared" si="5"/>
        <v>0.42962962962962964</v>
      </c>
      <c r="U14" s="237">
        <f>INDEX(Q1_Adult,10,17)</f>
        <v>29</v>
      </c>
      <c r="V14" s="234">
        <f t="shared" si="6"/>
        <v>0.21481481481481482</v>
      </c>
      <c r="W14" s="235">
        <f>INDEX(Q1_Adult,10,18)</f>
        <v>10</v>
      </c>
      <c r="X14" s="234">
        <f t="shared" si="7"/>
        <v>7.407407407407407E-2</v>
      </c>
      <c r="Y14" s="138">
        <f>INDEX(Q1_Adult,10,19)</f>
        <v>135</v>
      </c>
      <c r="Z14" s="83">
        <f>INDEX(Q1_Adult,10,21)</f>
        <v>0</v>
      </c>
      <c r="AA14" s="84">
        <f>INDEX(Q1_Adult,10,22)</f>
        <v>0.08</v>
      </c>
    </row>
    <row r="15" spans="1:28" s="13" customFormat="1" ht="21.75" customHeight="1" thickTop="1" thickBot="1" x14ac:dyDescent="0.4">
      <c r="B15" s="32" t="s">
        <v>203</v>
      </c>
      <c r="C15" s="32" t="s">
        <v>24</v>
      </c>
      <c r="D15" s="74">
        <v>3</v>
      </c>
      <c r="E15" s="32" t="s">
        <v>26</v>
      </c>
      <c r="F15" s="82" t="str">
        <f>INDEX(Q1_Adult,11,7)</f>
        <v>No data</v>
      </c>
      <c r="G15" s="88" t="str">
        <f>INDEX(Q1_Adult,11,8)</f>
        <v>No data</v>
      </c>
      <c r="H15" s="238" t="str">
        <f>INDEX(Q1_Adult,11,9)</f>
        <v>No data</v>
      </c>
      <c r="I15" s="239">
        <f t="shared" si="0"/>
        <v>0</v>
      </c>
      <c r="J15" s="240" t="str">
        <f>INDEX(Q1_Adult,11,10)</f>
        <v>No data</v>
      </c>
      <c r="K15" s="239">
        <f t="shared" si="1"/>
        <v>0</v>
      </c>
      <c r="L15" s="240" t="str">
        <f>INDEX(Q1_Adult,11,11)</f>
        <v>No data</v>
      </c>
      <c r="M15" s="239">
        <f t="shared" si="2"/>
        <v>0</v>
      </c>
      <c r="N15" s="240" t="str">
        <f>INDEX(Q1_Adult,11,12)</f>
        <v>No data</v>
      </c>
      <c r="O15" s="239">
        <f t="shared" si="3"/>
        <v>0</v>
      </c>
      <c r="P15" s="241" t="str">
        <f>INDEX(Q1_Adult,11,13)</f>
        <v>No data</v>
      </c>
      <c r="Q15" s="242" t="str">
        <f>INDEX(Q1_Adult,11,15)</f>
        <v>No data</v>
      </c>
      <c r="R15" s="239">
        <f t="shared" si="4"/>
        <v>0</v>
      </c>
      <c r="S15" s="240" t="str">
        <f>INDEX(Q1_Adult,11,16)</f>
        <v>No data</v>
      </c>
      <c r="T15" s="239">
        <f t="shared" si="5"/>
        <v>0</v>
      </c>
      <c r="U15" s="243" t="str">
        <f>INDEX(Q1_Adult,11,17)</f>
        <v>No data</v>
      </c>
      <c r="V15" s="239">
        <f t="shared" si="6"/>
        <v>0</v>
      </c>
      <c r="W15" s="240" t="str">
        <f>INDEX(Q1_Adult,11,18)</f>
        <v>No data</v>
      </c>
      <c r="X15" s="239">
        <f t="shared" si="7"/>
        <v>0</v>
      </c>
      <c r="Y15" s="139" t="str">
        <f>INDEX(Q1_Adult,11,19)</f>
        <v>No data</v>
      </c>
      <c r="Z15" s="85" t="str">
        <f>INDEX(Q1_Adult,11,21)</f>
        <v>No data</v>
      </c>
      <c r="AA15" s="86" t="str">
        <f>INDEX(Q1_Adult,11,22)</f>
        <v>No data</v>
      </c>
    </row>
    <row r="16" spans="1:28" s="13" customFormat="1" ht="21.75" customHeight="1" thickTop="1" thickBot="1" x14ac:dyDescent="0.4">
      <c r="B16" s="31" t="s">
        <v>200</v>
      </c>
      <c r="C16" s="31" t="s">
        <v>24</v>
      </c>
      <c r="D16" s="73">
        <v>3</v>
      </c>
      <c r="E16" s="31" t="s">
        <v>26</v>
      </c>
      <c r="F16" s="81" t="str">
        <f>INDEX(Q1_Adult,12,7)</f>
        <v>No data</v>
      </c>
      <c r="G16" s="87" t="str">
        <f>INDEX(Q1_Adult,12,8)</f>
        <v>No data</v>
      </c>
      <c r="H16" s="244" t="str">
        <f>INDEX(Q1_Adult,12,9)</f>
        <v>No data</v>
      </c>
      <c r="I16" s="234">
        <f t="shared" si="0"/>
        <v>0</v>
      </c>
      <c r="J16" s="235" t="str">
        <f>INDEX(Q1_Adult,12,10)</f>
        <v>No data</v>
      </c>
      <c r="K16" s="234">
        <f t="shared" si="1"/>
        <v>0</v>
      </c>
      <c r="L16" s="235" t="str">
        <f>INDEX(Q1_Adult,12,11)</f>
        <v>No data</v>
      </c>
      <c r="M16" s="234">
        <f t="shared" si="2"/>
        <v>0</v>
      </c>
      <c r="N16" s="235" t="str">
        <f>INDEX(Q1_Adult,12,12)</f>
        <v>No data</v>
      </c>
      <c r="O16" s="234">
        <f t="shared" si="3"/>
        <v>0</v>
      </c>
      <c r="P16" s="236" t="str">
        <f>INDEX(Q1_Adult,12,13)</f>
        <v>No data</v>
      </c>
      <c r="Q16" s="233" t="str">
        <f>INDEX(Q1_Adult,12,15)</f>
        <v>No data</v>
      </c>
      <c r="R16" s="234">
        <f t="shared" si="4"/>
        <v>0</v>
      </c>
      <c r="S16" s="235" t="str">
        <f>INDEX(Q1_Adult,12,16)</f>
        <v>No data</v>
      </c>
      <c r="T16" s="234">
        <f t="shared" si="5"/>
        <v>0</v>
      </c>
      <c r="U16" s="237" t="str">
        <f>INDEX(Q1_Adult,12,17)</f>
        <v>No data</v>
      </c>
      <c r="V16" s="234">
        <f t="shared" si="6"/>
        <v>0</v>
      </c>
      <c r="W16" s="235" t="str">
        <f>INDEX(Q1_Adult,12,18)</f>
        <v>No data</v>
      </c>
      <c r="X16" s="234">
        <f t="shared" si="7"/>
        <v>0</v>
      </c>
      <c r="Y16" s="138" t="str">
        <f>INDEX(Q1_Adult,12,19)</f>
        <v>No data</v>
      </c>
      <c r="Z16" s="83" t="str">
        <f>INDEX(Q1_Adult,12,21)</f>
        <v>No data</v>
      </c>
      <c r="AA16" s="84" t="str">
        <f>INDEX(Q1_Adult,12,22)</f>
        <v>No data</v>
      </c>
    </row>
    <row r="17" spans="2:27" s="13" customFormat="1" ht="21.75" customHeight="1" thickTop="1" thickBot="1" x14ac:dyDescent="0.4">
      <c r="B17" s="32" t="s">
        <v>82</v>
      </c>
      <c r="C17" s="32" t="s">
        <v>24</v>
      </c>
      <c r="D17" s="74">
        <v>3</v>
      </c>
      <c r="E17" s="32" t="s">
        <v>25</v>
      </c>
      <c r="F17" s="82" t="str">
        <f>INDEX(Q1_Adult,13,7)</f>
        <v>No data</v>
      </c>
      <c r="G17" s="88" t="str">
        <f>INDEX(Q1_Adult,13,8)</f>
        <v>No data</v>
      </c>
      <c r="H17" s="238" t="str">
        <f>INDEX(Q1_Adult,13,9)</f>
        <v>No data</v>
      </c>
      <c r="I17" s="239">
        <f t="shared" si="0"/>
        <v>0</v>
      </c>
      <c r="J17" s="240" t="str">
        <f>INDEX(Q1_Adult,13,10)</f>
        <v>No data</v>
      </c>
      <c r="K17" s="239">
        <f t="shared" si="1"/>
        <v>0</v>
      </c>
      <c r="L17" s="240" t="str">
        <f>INDEX(Q1_Adult,13,11)</f>
        <v>No data</v>
      </c>
      <c r="M17" s="239">
        <f t="shared" si="2"/>
        <v>0</v>
      </c>
      <c r="N17" s="240" t="str">
        <f>INDEX(Q1_Adult,13,12)</f>
        <v>No data</v>
      </c>
      <c r="O17" s="239">
        <f t="shared" si="3"/>
        <v>0</v>
      </c>
      <c r="P17" s="241" t="str">
        <f>INDEX(Q1_Adult,13,13)</f>
        <v>No data</v>
      </c>
      <c r="Q17" s="242" t="str">
        <f>INDEX(Q1_Adult,13,15)</f>
        <v>No data</v>
      </c>
      <c r="R17" s="239">
        <f t="shared" si="4"/>
        <v>0</v>
      </c>
      <c r="S17" s="240" t="str">
        <f>INDEX(Q1_Adult,13,16)</f>
        <v>No data</v>
      </c>
      <c r="T17" s="239">
        <f t="shared" si="5"/>
        <v>0</v>
      </c>
      <c r="U17" s="243" t="str">
        <f>INDEX(Q1_Adult,13,17)</f>
        <v>No data</v>
      </c>
      <c r="V17" s="239">
        <f t="shared" si="6"/>
        <v>0</v>
      </c>
      <c r="W17" s="240" t="str">
        <f>INDEX(Q1_Adult,13,18)</f>
        <v>No data</v>
      </c>
      <c r="X17" s="239">
        <f t="shared" si="7"/>
        <v>0</v>
      </c>
      <c r="Y17" s="139" t="str">
        <f>INDEX(Q1_Adult,13,19)</f>
        <v>No data</v>
      </c>
      <c r="Z17" s="85" t="str">
        <f>INDEX(Q1_Adult,13,21)</f>
        <v>No data</v>
      </c>
      <c r="AA17" s="86" t="str">
        <f>INDEX(Q1_Adult,13,22)</f>
        <v>No data</v>
      </c>
    </row>
    <row r="18" spans="2:27" s="13" customFormat="1" ht="21.75" customHeight="1" thickTop="1" thickBot="1" x14ac:dyDescent="0.4">
      <c r="B18" s="31" t="s">
        <v>83</v>
      </c>
      <c r="C18" s="31" t="s">
        <v>24</v>
      </c>
      <c r="D18" s="73">
        <v>3</v>
      </c>
      <c r="E18" s="31" t="s">
        <v>25</v>
      </c>
      <c r="F18" s="81" t="str">
        <f>INDEX(Q1_Adult,14,7)</f>
        <v>No data</v>
      </c>
      <c r="G18" s="87" t="str">
        <f>INDEX(Q1_Adult,14,8)</f>
        <v>No data</v>
      </c>
      <c r="H18" s="244" t="str">
        <f>INDEX(Q1_Adult,14,9)</f>
        <v>No data</v>
      </c>
      <c r="I18" s="234">
        <f t="shared" si="0"/>
        <v>0</v>
      </c>
      <c r="J18" s="235" t="str">
        <f>INDEX(Q1_Adult,14,10)</f>
        <v>No data</v>
      </c>
      <c r="K18" s="234">
        <f t="shared" si="1"/>
        <v>0</v>
      </c>
      <c r="L18" s="235" t="str">
        <f>INDEX(Q1_Adult,14,11)</f>
        <v>No data</v>
      </c>
      <c r="M18" s="234">
        <f t="shared" si="2"/>
        <v>0</v>
      </c>
      <c r="N18" s="235" t="str">
        <f>INDEX(Q1_Adult,14,12)</f>
        <v>No data</v>
      </c>
      <c r="O18" s="234">
        <f t="shared" si="3"/>
        <v>0</v>
      </c>
      <c r="P18" s="236" t="str">
        <f>INDEX(Q1_Adult,14,13)</f>
        <v>No data</v>
      </c>
      <c r="Q18" s="233" t="str">
        <f>INDEX(Q1_Adult,14,15)</f>
        <v>No data</v>
      </c>
      <c r="R18" s="234">
        <f t="shared" si="4"/>
        <v>0</v>
      </c>
      <c r="S18" s="235" t="str">
        <f>INDEX(Q1_Adult,14,16)</f>
        <v>No data</v>
      </c>
      <c r="T18" s="234">
        <f t="shared" si="5"/>
        <v>0</v>
      </c>
      <c r="U18" s="237" t="str">
        <f>INDEX(Q1_Adult,14,17)</f>
        <v>No data</v>
      </c>
      <c r="V18" s="234">
        <f t="shared" si="6"/>
        <v>0</v>
      </c>
      <c r="W18" s="235" t="str">
        <f>INDEX(Q1_Adult,14,18)</f>
        <v>No data</v>
      </c>
      <c r="X18" s="234">
        <f t="shared" si="7"/>
        <v>0</v>
      </c>
      <c r="Y18" s="138" t="str">
        <f>INDEX(Q1_Adult,14,19)</f>
        <v>No data</v>
      </c>
      <c r="Z18" s="83" t="str">
        <f>INDEX(Q1_Adult,14,21)</f>
        <v>No data</v>
      </c>
      <c r="AA18" s="84" t="str">
        <f>INDEX(Q1_Adult,14,22)</f>
        <v>No data</v>
      </c>
    </row>
    <row r="19" spans="2:27" s="13" customFormat="1" ht="21.75" customHeight="1" thickTop="1" thickBot="1" x14ac:dyDescent="0.4">
      <c r="B19" s="32" t="s">
        <v>84</v>
      </c>
      <c r="C19" s="32" t="s">
        <v>24</v>
      </c>
      <c r="D19" s="74">
        <v>3</v>
      </c>
      <c r="E19" s="32" t="s">
        <v>25</v>
      </c>
      <c r="F19" s="82" t="str">
        <f>INDEX(Q1_Adult,16,7)</f>
        <v>No data</v>
      </c>
      <c r="G19" s="88" t="str">
        <f>INDEX(Q1_Adult,16,8)</f>
        <v>No data</v>
      </c>
      <c r="H19" s="238" t="str">
        <f>INDEX(Q1_Adult,16,9)</f>
        <v>No data</v>
      </c>
      <c r="I19" s="239">
        <f t="shared" si="0"/>
        <v>0</v>
      </c>
      <c r="J19" s="240" t="str">
        <f>INDEX(Q1_Adult,16,10)</f>
        <v>No data</v>
      </c>
      <c r="K19" s="239">
        <f t="shared" si="1"/>
        <v>0</v>
      </c>
      <c r="L19" s="240" t="str">
        <f>INDEX(Q1_Adult,16,11)</f>
        <v>No data</v>
      </c>
      <c r="M19" s="239">
        <f t="shared" si="2"/>
        <v>0</v>
      </c>
      <c r="N19" s="240" t="str">
        <f>INDEX(Q1_Adult,16,12)</f>
        <v>No data</v>
      </c>
      <c r="O19" s="239">
        <f t="shared" si="3"/>
        <v>0</v>
      </c>
      <c r="P19" s="241" t="str">
        <f>INDEX(Q1_Adult,16,13)</f>
        <v>No data</v>
      </c>
      <c r="Q19" s="242" t="str">
        <f>INDEX(Q1_Adult,16,15)</f>
        <v>No data</v>
      </c>
      <c r="R19" s="239">
        <f t="shared" si="4"/>
        <v>0</v>
      </c>
      <c r="S19" s="240" t="str">
        <f>INDEX(Q1_Adult,16,16)</f>
        <v>No data</v>
      </c>
      <c r="T19" s="239">
        <f t="shared" si="5"/>
        <v>0</v>
      </c>
      <c r="U19" s="243" t="str">
        <f>INDEX(Q1_Adult,16,17)</f>
        <v>No data</v>
      </c>
      <c r="V19" s="239">
        <f t="shared" si="6"/>
        <v>0</v>
      </c>
      <c r="W19" s="240" t="str">
        <f>INDEX(Q1_Adult,16,18)</f>
        <v>No data</v>
      </c>
      <c r="X19" s="239">
        <f t="shared" si="7"/>
        <v>0</v>
      </c>
      <c r="Y19" s="139" t="str">
        <f>INDEX(Q1_Adult,16,19)</f>
        <v>No data</v>
      </c>
      <c r="Z19" s="85" t="str">
        <f>INDEX(Q1_Adult,16,21)</f>
        <v>No data</v>
      </c>
      <c r="AA19" s="86" t="str">
        <f>INDEX(Q1_Adult,16,22)</f>
        <v>No data</v>
      </c>
    </row>
    <row r="20" spans="2:27" s="13" customFormat="1" ht="21.75" customHeight="1" thickTop="1" thickBot="1" x14ac:dyDescent="0.4">
      <c r="B20" s="31" t="s">
        <v>74</v>
      </c>
      <c r="C20" s="31" t="s">
        <v>24</v>
      </c>
      <c r="D20" s="73">
        <v>3</v>
      </c>
      <c r="E20" s="31" t="s">
        <v>25</v>
      </c>
      <c r="F20" s="81">
        <f>INDEX(Q1_Adult,17,7)</f>
        <v>13</v>
      </c>
      <c r="G20" s="87">
        <f>INDEX(Q1_Adult,17,8)</f>
        <v>13</v>
      </c>
      <c r="H20" s="244">
        <f>INDEX(Q1_Adult,17,9)</f>
        <v>1</v>
      </c>
      <c r="I20" s="234">
        <f t="shared" si="0"/>
        <v>1.8181818181818181E-2</v>
      </c>
      <c r="J20" s="235">
        <f>INDEX(Q1_Adult,17,10)</f>
        <v>0</v>
      </c>
      <c r="K20" s="234">
        <f t="shared" si="1"/>
        <v>0</v>
      </c>
      <c r="L20" s="235">
        <f>INDEX(Q1_Adult,17,11)</f>
        <v>54</v>
      </c>
      <c r="M20" s="234">
        <f t="shared" si="2"/>
        <v>0.98181818181818181</v>
      </c>
      <c r="N20" s="235">
        <f>INDEX(Q1_Adult,17,12)</f>
        <v>0</v>
      </c>
      <c r="O20" s="234">
        <f t="shared" si="3"/>
        <v>0</v>
      </c>
      <c r="P20" s="236">
        <f>INDEX(Q1_Adult,17,13)</f>
        <v>55</v>
      </c>
      <c r="Q20" s="233">
        <f>INDEX(Q1_Adult,17,15)</f>
        <v>1</v>
      </c>
      <c r="R20" s="234">
        <f t="shared" si="4"/>
        <v>1.8181818181818181E-2</v>
      </c>
      <c r="S20" s="235">
        <f>INDEX(Q1_Adult,17,16)</f>
        <v>0</v>
      </c>
      <c r="T20" s="234">
        <f t="shared" si="5"/>
        <v>0</v>
      </c>
      <c r="U20" s="237">
        <f>INDEX(Q1_Adult,17,17)</f>
        <v>54</v>
      </c>
      <c r="V20" s="234">
        <f t="shared" si="6"/>
        <v>0.98181818181818181</v>
      </c>
      <c r="W20" s="235">
        <f>INDEX(Q1_Adult,17,18)</f>
        <v>0</v>
      </c>
      <c r="X20" s="234">
        <f t="shared" si="7"/>
        <v>0</v>
      </c>
      <c r="Y20" s="138">
        <f>INDEX(Q1_Adult,17,19)</f>
        <v>55</v>
      </c>
      <c r="Z20" s="83">
        <f>INDEX(Q1_Adult,17,21)</f>
        <v>0.17</v>
      </c>
      <c r="AA20" s="84">
        <f>INDEX(Q1_Adult,17,22)</f>
        <v>0.17</v>
      </c>
    </row>
    <row r="21" spans="2:27" s="13" customFormat="1" ht="21.75" customHeight="1" thickTop="1" thickBot="1" x14ac:dyDescent="0.4">
      <c r="B21" s="32" t="s">
        <v>86</v>
      </c>
      <c r="C21" s="32" t="s">
        <v>24</v>
      </c>
      <c r="D21" s="74">
        <v>3</v>
      </c>
      <c r="E21" s="32" t="s">
        <v>25</v>
      </c>
      <c r="F21" s="82">
        <f>INDEX(Q1_Adult,18,7)</f>
        <v>21</v>
      </c>
      <c r="G21" s="88">
        <f>INDEX(Q1_Adult,18,8)</f>
        <v>0</v>
      </c>
      <c r="H21" s="238">
        <f>INDEX(Q1_Adult,18,9)</f>
        <v>227</v>
      </c>
      <c r="I21" s="239">
        <f t="shared" si="0"/>
        <v>0.31659693165969316</v>
      </c>
      <c r="J21" s="240">
        <f>INDEX(Q1_Adult,18,10)</f>
        <v>88</v>
      </c>
      <c r="K21" s="239">
        <f t="shared" si="1"/>
        <v>0.12273361227336123</v>
      </c>
      <c r="L21" s="240">
        <f>INDEX(Q1_Adult,18,11)</f>
        <v>141</v>
      </c>
      <c r="M21" s="239">
        <f t="shared" si="2"/>
        <v>0.19665271966527198</v>
      </c>
      <c r="N21" s="240">
        <f>INDEX(Q1_Adult,18,12)</f>
        <v>261</v>
      </c>
      <c r="O21" s="239">
        <f t="shared" si="3"/>
        <v>0.36401673640167365</v>
      </c>
      <c r="P21" s="241">
        <f>INDEX(Q1_Adult,18,13)</f>
        <v>717</v>
      </c>
      <c r="Q21" s="242">
        <f>INDEX(Q1_Adult,18,15)</f>
        <v>0</v>
      </c>
      <c r="R21" s="239">
        <f t="shared" si="4"/>
        <v>0</v>
      </c>
      <c r="S21" s="240">
        <f>INDEX(Q1_Adult,18,16)</f>
        <v>0</v>
      </c>
      <c r="T21" s="239">
        <f t="shared" si="5"/>
        <v>0</v>
      </c>
      <c r="U21" s="243">
        <f>INDEX(Q1_Adult,18,17)</f>
        <v>0</v>
      </c>
      <c r="V21" s="239">
        <f t="shared" si="6"/>
        <v>0</v>
      </c>
      <c r="W21" s="240">
        <f>INDEX(Q1_Adult,18,18)</f>
        <v>0</v>
      </c>
      <c r="X21" s="239">
        <f t="shared" si="7"/>
        <v>0</v>
      </c>
      <c r="Y21" s="139">
        <f>INDEX(Q1_Adult,18,19)</f>
        <v>0</v>
      </c>
      <c r="Z21" s="85">
        <f>INDEX(Q1_Adult,18,21)</f>
        <v>0.03</v>
      </c>
      <c r="AA21" s="86">
        <f>INDEX(Q1_Adult,18,22)</f>
        <v>0</v>
      </c>
    </row>
    <row r="22" spans="2:27" s="13" customFormat="1" ht="21.75" customHeight="1" thickTop="1" thickBot="1" x14ac:dyDescent="0.4">
      <c r="B22" s="31" t="s">
        <v>60</v>
      </c>
      <c r="C22" s="31" t="s">
        <v>24</v>
      </c>
      <c r="D22" s="73">
        <v>3</v>
      </c>
      <c r="E22" s="31" t="s">
        <v>25</v>
      </c>
      <c r="F22" s="81" t="str">
        <f>INDEX(Q1_Adult,19,7)</f>
        <v>No data</v>
      </c>
      <c r="G22" s="87" t="str">
        <f>INDEX(Q1_Adult,19,8)</f>
        <v>No data</v>
      </c>
      <c r="H22" s="244" t="str">
        <f>INDEX(Q1_Adult,19,9)</f>
        <v>No data</v>
      </c>
      <c r="I22" s="234">
        <f t="shared" si="0"/>
        <v>0</v>
      </c>
      <c r="J22" s="235" t="str">
        <f>INDEX(Q1_Adult,19,10)</f>
        <v>No data</v>
      </c>
      <c r="K22" s="234">
        <f t="shared" si="1"/>
        <v>0</v>
      </c>
      <c r="L22" s="235" t="str">
        <f>INDEX(Q1_Adult,19,11)</f>
        <v>No data</v>
      </c>
      <c r="M22" s="234">
        <f t="shared" si="2"/>
        <v>0</v>
      </c>
      <c r="N22" s="235" t="str">
        <f>INDEX(Q1_Adult,19,12)</f>
        <v>No data</v>
      </c>
      <c r="O22" s="234">
        <f t="shared" si="3"/>
        <v>0</v>
      </c>
      <c r="P22" s="236" t="str">
        <f>INDEX(Q1_Adult,19,13)</f>
        <v>No data</v>
      </c>
      <c r="Q22" s="233" t="str">
        <f>INDEX(Q1_Adult,19,15)</f>
        <v>No data</v>
      </c>
      <c r="R22" s="234">
        <f t="shared" si="4"/>
        <v>0</v>
      </c>
      <c r="S22" s="235" t="str">
        <f>INDEX(Q1_Adult,19,16)</f>
        <v>No data</v>
      </c>
      <c r="T22" s="234">
        <f t="shared" si="5"/>
        <v>0</v>
      </c>
      <c r="U22" s="237" t="str">
        <f>INDEX(Q1_Adult,19,17)</f>
        <v>No data</v>
      </c>
      <c r="V22" s="234">
        <f t="shared" si="6"/>
        <v>0</v>
      </c>
      <c r="W22" s="235" t="str">
        <f>INDEX(Q1_Adult,19,18)</f>
        <v>No data</v>
      </c>
      <c r="X22" s="234">
        <f t="shared" si="7"/>
        <v>0</v>
      </c>
      <c r="Y22" s="138" t="str">
        <f>INDEX(Q1_Adult,19,19)</f>
        <v>No data</v>
      </c>
      <c r="Z22" s="83" t="str">
        <f>INDEX(Q1_Adult,19,21)</f>
        <v>No data</v>
      </c>
      <c r="AA22" s="84" t="str">
        <f>INDEX(Q1_Adult,19,22)</f>
        <v>No data</v>
      </c>
    </row>
    <row r="23" spans="2:27" s="13" customFormat="1" ht="21.75" customHeight="1" thickTop="1" thickBot="1" x14ac:dyDescent="0.4">
      <c r="B23" s="32" t="s">
        <v>75</v>
      </c>
      <c r="C23" s="32" t="s">
        <v>24</v>
      </c>
      <c r="D23" s="74">
        <v>3</v>
      </c>
      <c r="E23" s="32" t="s">
        <v>25</v>
      </c>
      <c r="F23" s="82">
        <f>INDEX(Q1_Adult,20,7)</f>
        <v>9</v>
      </c>
      <c r="G23" s="88">
        <f>INDEX(Q1_Adult,20,8)</f>
        <v>5</v>
      </c>
      <c r="H23" s="238">
        <f>INDEX(Q1_Adult,20,9)</f>
        <v>14</v>
      </c>
      <c r="I23" s="239">
        <f t="shared" si="0"/>
        <v>0.15909090909090909</v>
      </c>
      <c r="J23" s="240">
        <f>INDEX(Q1_Adult,20,10)</f>
        <v>43</v>
      </c>
      <c r="K23" s="239">
        <f t="shared" si="1"/>
        <v>0.48863636363636365</v>
      </c>
      <c r="L23" s="240">
        <f>INDEX(Q1_Adult,20,11)</f>
        <v>31</v>
      </c>
      <c r="M23" s="239">
        <f t="shared" si="2"/>
        <v>0.35227272727272729</v>
      </c>
      <c r="N23" s="240">
        <f>INDEX(Q1_Adult,20,12)</f>
        <v>0</v>
      </c>
      <c r="O23" s="239">
        <f t="shared" si="3"/>
        <v>0</v>
      </c>
      <c r="P23" s="241">
        <f>INDEX(Q1_Adult,20,13)</f>
        <v>88</v>
      </c>
      <c r="Q23" s="242">
        <f>INDEX(Q1_Adult,20,15)</f>
        <v>15</v>
      </c>
      <c r="R23" s="239">
        <f t="shared" si="4"/>
        <v>0.39473684210526316</v>
      </c>
      <c r="S23" s="240">
        <f>INDEX(Q1_Adult,20,16)</f>
        <v>14</v>
      </c>
      <c r="T23" s="239">
        <f t="shared" si="5"/>
        <v>0.36842105263157893</v>
      </c>
      <c r="U23" s="243">
        <f>INDEX(Q1_Adult,20,17)</f>
        <v>9</v>
      </c>
      <c r="V23" s="239">
        <f t="shared" si="6"/>
        <v>0.23684210526315788</v>
      </c>
      <c r="W23" s="240">
        <f>INDEX(Q1_Adult,20,18)</f>
        <v>0</v>
      </c>
      <c r="X23" s="239">
        <f t="shared" si="7"/>
        <v>0</v>
      </c>
      <c r="Y23" s="139">
        <f>INDEX(Q1_Adult,20,19)</f>
        <v>38</v>
      </c>
      <c r="Z23" s="85">
        <f>INDEX(Q1_Adult,20,21)</f>
        <v>0</v>
      </c>
      <c r="AA23" s="86">
        <f>INDEX(Q1_Adult,20,22)</f>
        <v>7.0000000000000007E-2</v>
      </c>
    </row>
    <row r="24" spans="2:27" s="13" customFormat="1" ht="21.75" customHeight="1" thickTop="1" thickBot="1" x14ac:dyDescent="0.4">
      <c r="B24" s="31" t="s">
        <v>70</v>
      </c>
      <c r="C24" s="31" t="s">
        <v>24</v>
      </c>
      <c r="D24" s="73">
        <v>3</v>
      </c>
      <c r="E24" s="31" t="s">
        <v>25</v>
      </c>
      <c r="F24" s="81" t="str">
        <f>INDEX(Q1_Adult,21,7)</f>
        <v>No data</v>
      </c>
      <c r="G24" s="87" t="str">
        <f>INDEX(Q1_Adult,21,8)</f>
        <v>No data</v>
      </c>
      <c r="H24" s="244" t="str">
        <f>INDEX(Q1_Adult,21,9)</f>
        <v>No data</v>
      </c>
      <c r="I24" s="234">
        <f t="shared" si="0"/>
        <v>0</v>
      </c>
      <c r="J24" s="235" t="str">
        <f>INDEX(Q1_Adult,21,10)</f>
        <v>No data</v>
      </c>
      <c r="K24" s="234">
        <f t="shared" si="1"/>
        <v>0</v>
      </c>
      <c r="L24" s="235" t="str">
        <f>INDEX(Q1_Adult,21,11)</f>
        <v>No data</v>
      </c>
      <c r="M24" s="234">
        <f t="shared" si="2"/>
        <v>0</v>
      </c>
      <c r="N24" s="235" t="str">
        <f>INDEX(Q1_Adult,21,12)</f>
        <v>No data</v>
      </c>
      <c r="O24" s="234">
        <f t="shared" si="3"/>
        <v>0</v>
      </c>
      <c r="P24" s="236" t="str">
        <f>INDEX(Q1_Adult,21,13)</f>
        <v>No data</v>
      </c>
      <c r="Q24" s="233" t="str">
        <f>INDEX(Q1_Adult,21,15)</f>
        <v>No data</v>
      </c>
      <c r="R24" s="234">
        <f t="shared" si="4"/>
        <v>0</v>
      </c>
      <c r="S24" s="235" t="str">
        <f>INDEX(Q1_Adult,21,16)</f>
        <v>No data</v>
      </c>
      <c r="T24" s="234">
        <f t="shared" si="5"/>
        <v>0</v>
      </c>
      <c r="U24" s="237" t="str">
        <f>INDEX(Q1_Adult,21,17)</f>
        <v>No data</v>
      </c>
      <c r="V24" s="234">
        <f t="shared" si="6"/>
        <v>0</v>
      </c>
      <c r="W24" s="235" t="str">
        <f>INDEX(Q1_Adult,21,18)</f>
        <v>No data</v>
      </c>
      <c r="X24" s="234">
        <f t="shared" si="7"/>
        <v>0</v>
      </c>
      <c r="Y24" s="138" t="str">
        <f>INDEX(Q1_Adult,21,19)</f>
        <v>No data</v>
      </c>
      <c r="Z24" s="83" t="str">
        <f>INDEX(Q1_Adult,21,21)</f>
        <v>No data</v>
      </c>
      <c r="AA24" s="84" t="str">
        <f>INDEX(Q1_Adult,21,22)</f>
        <v>No data</v>
      </c>
    </row>
    <row r="25" spans="2:27" s="13" customFormat="1" ht="21.75" customHeight="1" thickTop="1" thickBot="1" x14ac:dyDescent="0.4">
      <c r="B25" s="32" t="s">
        <v>87</v>
      </c>
      <c r="C25" s="32" t="s">
        <v>24</v>
      </c>
      <c r="D25" s="74">
        <v>3</v>
      </c>
      <c r="E25" s="32" t="s">
        <v>25</v>
      </c>
      <c r="F25" s="82" t="str">
        <f>INDEX(Q1_Adult,22,7)</f>
        <v>No data</v>
      </c>
      <c r="G25" s="88" t="str">
        <f>INDEX(Q1_Adult,22,8)</f>
        <v>No data</v>
      </c>
      <c r="H25" s="238" t="str">
        <f>INDEX(Q1_Adult,22,9)</f>
        <v>No data</v>
      </c>
      <c r="I25" s="239">
        <f t="shared" si="0"/>
        <v>0</v>
      </c>
      <c r="J25" s="240" t="str">
        <f>INDEX(Q1_Adult,22,10)</f>
        <v>No data</v>
      </c>
      <c r="K25" s="239">
        <f t="shared" si="1"/>
        <v>0</v>
      </c>
      <c r="L25" s="240" t="str">
        <f>INDEX(Q1_Adult,22,11)</f>
        <v>No data</v>
      </c>
      <c r="M25" s="239">
        <f t="shared" si="2"/>
        <v>0</v>
      </c>
      <c r="N25" s="240" t="str">
        <f>INDEX(Q1_Adult,22,12)</f>
        <v>No data</v>
      </c>
      <c r="O25" s="239">
        <f t="shared" si="3"/>
        <v>0</v>
      </c>
      <c r="P25" s="241" t="str">
        <f>INDEX(Q1_Adult,22,13)</f>
        <v>No data</v>
      </c>
      <c r="Q25" s="242" t="str">
        <f>INDEX(Q1_Adult,22,15)</f>
        <v>No data</v>
      </c>
      <c r="R25" s="239">
        <f t="shared" si="4"/>
        <v>0</v>
      </c>
      <c r="S25" s="240" t="str">
        <f>INDEX(Q1_Adult,22,16)</f>
        <v>No data</v>
      </c>
      <c r="T25" s="239">
        <f t="shared" si="5"/>
        <v>0</v>
      </c>
      <c r="U25" s="243" t="str">
        <f>INDEX(Q1_Adult,22,17)</f>
        <v>No data</v>
      </c>
      <c r="V25" s="239">
        <f t="shared" si="6"/>
        <v>0</v>
      </c>
      <c r="W25" s="240" t="str">
        <f>INDEX(Q1_Adult,22,18)</f>
        <v>No data</v>
      </c>
      <c r="X25" s="239">
        <f t="shared" si="7"/>
        <v>0</v>
      </c>
      <c r="Y25" s="139" t="str">
        <f>INDEX(Q1_Adult,22,19)</f>
        <v>No data</v>
      </c>
      <c r="Z25" s="85" t="str">
        <f>INDEX(Q1_Adult,22,21)</f>
        <v>No data</v>
      </c>
      <c r="AA25" s="86" t="str">
        <f>INDEX(Q1_Adult,22,22)</f>
        <v>No data</v>
      </c>
    </row>
    <row r="26" spans="2:27" ht="15" thickTop="1" x14ac:dyDescent="0.35">
      <c r="B26" s="21"/>
      <c r="C26" s="21"/>
      <c r="D26" s="21"/>
      <c r="E26" s="21"/>
      <c r="F26" s="20"/>
      <c r="G26" s="20"/>
      <c r="H26" s="144"/>
      <c r="I26" s="20"/>
      <c r="J26" s="144"/>
      <c r="K26" s="20"/>
      <c r="L26" s="144"/>
      <c r="M26" s="20"/>
      <c r="N26" s="144"/>
      <c r="O26" s="20"/>
      <c r="P26" s="20"/>
      <c r="Q26" s="144"/>
      <c r="R26" s="20"/>
      <c r="S26" s="144"/>
      <c r="T26" s="20"/>
      <c r="U26" s="144"/>
      <c r="V26" s="20"/>
      <c r="W26" s="144"/>
      <c r="X26" s="20"/>
      <c r="Y26" s="20"/>
      <c r="Z26" s="20"/>
      <c r="AA26" s="20"/>
    </row>
    <row r="27" spans="2:27" ht="15" thickBot="1" x14ac:dyDescent="0.4">
      <c r="B27" s="21"/>
      <c r="C27" s="21"/>
      <c r="D27" s="21"/>
      <c r="E27" s="21"/>
      <c r="F27" s="20"/>
      <c r="G27" s="20"/>
      <c r="H27" s="144"/>
      <c r="I27" s="20"/>
      <c r="J27" s="144"/>
      <c r="K27" s="20"/>
      <c r="L27" s="144"/>
      <c r="M27" s="20"/>
      <c r="N27" s="144"/>
      <c r="O27" s="20"/>
      <c r="P27" s="20"/>
      <c r="Q27" s="144"/>
      <c r="R27" s="20"/>
      <c r="S27" s="144"/>
      <c r="T27" s="20"/>
      <c r="U27" s="144"/>
      <c r="V27" s="20"/>
      <c r="W27" s="144"/>
      <c r="X27" s="20"/>
      <c r="Y27" s="20"/>
      <c r="Z27" s="20"/>
      <c r="AA27" s="20"/>
    </row>
    <row r="28" spans="2:27" ht="14.5" x14ac:dyDescent="0.35">
      <c r="B28" s="344" t="s">
        <v>112</v>
      </c>
      <c r="C28" s="345" t="s">
        <v>113</v>
      </c>
      <c r="D28" s="346"/>
      <c r="E28" s="347"/>
      <c r="F28" s="354" t="s">
        <v>104</v>
      </c>
      <c r="G28" s="355"/>
      <c r="H28" s="356"/>
      <c r="I28" s="357"/>
      <c r="J28" s="360" t="s">
        <v>110</v>
      </c>
      <c r="K28" s="361"/>
      <c r="L28" s="364" t="s">
        <v>110</v>
      </c>
      <c r="M28" s="365"/>
      <c r="N28" s="368" t="s">
        <v>110</v>
      </c>
      <c r="O28" s="369"/>
      <c r="P28" s="189"/>
      <c r="Q28" s="356"/>
      <c r="R28" s="357"/>
      <c r="S28" s="360" t="s">
        <v>110</v>
      </c>
      <c r="T28" s="361"/>
      <c r="U28" s="364" t="s">
        <v>110</v>
      </c>
      <c r="V28" s="365"/>
      <c r="W28" s="368" t="s">
        <v>110</v>
      </c>
      <c r="X28" s="369"/>
      <c r="Y28" s="153"/>
      <c r="Z28" s="380" t="s">
        <v>107</v>
      </c>
      <c r="AA28" s="355"/>
    </row>
    <row r="29" spans="2:27" ht="14.5" x14ac:dyDescent="0.35">
      <c r="B29" s="344"/>
      <c r="C29" s="348"/>
      <c r="D29" s="349"/>
      <c r="E29" s="350"/>
      <c r="F29" s="381" t="s">
        <v>105</v>
      </c>
      <c r="G29" s="382"/>
      <c r="H29" s="358"/>
      <c r="I29" s="359"/>
      <c r="J29" s="362"/>
      <c r="K29" s="363"/>
      <c r="L29" s="366"/>
      <c r="M29" s="367"/>
      <c r="N29" s="370"/>
      <c r="O29" s="371"/>
      <c r="P29" s="190"/>
      <c r="Q29" s="358"/>
      <c r="R29" s="359"/>
      <c r="S29" s="362"/>
      <c r="T29" s="363"/>
      <c r="U29" s="366"/>
      <c r="V29" s="367"/>
      <c r="W29" s="370"/>
      <c r="X29" s="371"/>
      <c r="Y29" s="154"/>
      <c r="Z29" s="383" t="s">
        <v>108</v>
      </c>
      <c r="AA29" s="382"/>
    </row>
    <row r="30" spans="2:27" ht="15" thickBot="1" x14ac:dyDescent="0.4">
      <c r="B30" s="344"/>
      <c r="C30" s="351"/>
      <c r="D30" s="352"/>
      <c r="E30" s="353"/>
      <c r="F30" s="376" t="s">
        <v>106</v>
      </c>
      <c r="G30" s="377"/>
      <c r="H30" s="378"/>
      <c r="I30" s="379"/>
      <c r="J30" s="384" t="s">
        <v>111</v>
      </c>
      <c r="K30" s="379"/>
      <c r="L30" s="384" t="s">
        <v>111</v>
      </c>
      <c r="M30" s="379"/>
      <c r="N30" s="384" t="s">
        <v>111</v>
      </c>
      <c r="O30" s="379"/>
      <c r="P30" s="187"/>
      <c r="Q30" s="378"/>
      <c r="R30" s="379"/>
      <c r="S30" s="384" t="s">
        <v>111</v>
      </c>
      <c r="T30" s="379"/>
      <c r="U30" s="384" t="s">
        <v>111</v>
      </c>
      <c r="V30" s="379"/>
      <c r="W30" s="384" t="s">
        <v>111</v>
      </c>
      <c r="X30" s="379"/>
      <c r="Y30" s="140"/>
      <c r="Z30" s="385" t="s">
        <v>109</v>
      </c>
      <c r="AA30" s="377"/>
    </row>
    <row r="31" spans="2:27" ht="14.5" x14ac:dyDescent="0.35">
      <c r="B31" s="22"/>
      <c r="C31" s="22"/>
      <c r="D31" s="22"/>
      <c r="E31" s="22"/>
      <c r="F31" s="23"/>
      <c r="G31" s="23"/>
      <c r="H31" s="145"/>
      <c r="I31" s="23"/>
      <c r="J31" s="145"/>
      <c r="K31" s="23"/>
      <c r="L31" s="145"/>
      <c r="M31" s="23"/>
      <c r="N31" s="145"/>
      <c r="O31" s="23"/>
      <c r="P31" s="23"/>
      <c r="Q31" s="145"/>
      <c r="R31" s="23"/>
      <c r="S31" s="145"/>
      <c r="T31" s="23"/>
      <c r="U31" s="145"/>
      <c r="V31" s="23"/>
      <c r="W31" s="145"/>
      <c r="X31" s="23"/>
      <c r="Y31" s="23"/>
      <c r="Z31" s="23"/>
      <c r="AA31" s="24"/>
    </row>
    <row r="32" spans="2:27" ht="14.5" x14ac:dyDescent="0.35">
      <c r="B32" s="20"/>
      <c r="C32" s="20"/>
      <c r="D32" s="20"/>
      <c r="E32" s="20"/>
      <c r="F32" s="25">
        <v>10</v>
      </c>
      <c r="G32" s="25">
        <v>10</v>
      </c>
      <c r="H32" s="146">
        <v>10</v>
      </c>
      <c r="I32" s="25"/>
      <c r="J32" s="146">
        <v>10</v>
      </c>
      <c r="K32" s="25">
        <v>10</v>
      </c>
      <c r="L32" s="146">
        <v>10</v>
      </c>
      <c r="M32" s="25"/>
      <c r="N32" s="146"/>
      <c r="O32" s="25"/>
      <c r="P32" s="25"/>
      <c r="Q32" s="146"/>
      <c r="R32" s="25"/>
      <c r="S32" s="146"/>
      <c r="T32" s="25"/>
      <c r="U32" s="146"/>
      <c r="V32" s="25"/>
      <c r="W32" s="146"/>
      <c r="X32" s="25"/>
      <c r="Y32" s="25"/>
      <c r="Z32" s="25"/>
      <c r="AA32" s="20"/>
    </row>
    <row r="33" spans="2:27" ht="14.5" x14ac:dyDescent="0.35">
      <c r="B33" s="21" t="s">
        <v>19</v>
      </c>
      <c r="C33" s="21"/>
      <c r="D33" s="21"/>
      <c r="E33" s="21"/>
      <c r="F33" s="26"/>
      <c r="G33" s="20"/>
      <c r="H33" s="144"/>
      <c r="I33" s="20"/>
      <c r="J33" s="144"/>
      <c r="K33" s="20"/>
      <c r="L33" s="144"/>
      <c r="M33" s="20"/>
      <c r="N33" s="144"/>
      <c r="O33" s="20"/>
      <c r="P33" s="20"/>
      <c r="Q33" s="144"/>
      <c r="R33" s="20"/>
      <c r="S33" s="144"/>
      <c r="T33" s="20"/>
      <c r="U33" s="144"/>
      <c r="V33" s="20"/>
      <c r="W33" s="144"/>
      <c r="X33" s="20"/>
      <c r="Y33" s="20"/>
      <c r="Z33" s="20"/>
      <c r="AA33" s="20"/>
    </row>
    <row r="34" spans="2:27" ht="14.5" x14ac:dyDescent="0.35">
      <c r="B34" s="27" t="s">
        <v>20</v>
      </c>
      <c r="C34" s="27"/>
      <c r="D34" s="27"/>
      <c r="E34" s="27"/>
      <c r="F34" s="20"/>
      <c r="G34" s="20"/>
      <c r="H34" s="144"/>
      <c r="I34" s="20"/>
      <c r="J34" s="144"/>
      <c r="K34" s="20"/>
      <c r="L34" s="144"/>
      <c r="M34" s="20"/>
      <c r="N34" s="144"/>
      <c r="O34" s="20"/>
      <c r="P34" s="20"/>
      <c r="Q34" s="144"/>
      <c r="R34" s="20"/>
      <c r="S34" s="144"/>
      <c r="T34" s="20"/>
      <c r="U34" s="144"/>
      <c r="V34" s="20"/>
      <c r="W34" s="144"/>
      <c r="X34" s="20"/>
      <c r="Y34" s="20"/>
      <c r="Z34" s="20"/>
      <c r="AA34" s="20"/>
    </row>
    <row r="35" spans="2:27" ht="14.5" x14ac:dyDescent="0.35">
      <c r="B35" s="28"/>
      <c r="C35" s="28"/>
      <c r="D35" s="28"/>
      <c r="E35" s="28"/>
      <c r="F35" s="20"/>
      <c r="G35" s="20"/>
      <c r="H35" s="144"/>
      <c r="I35" s="20"/>
      <c r="J35" s="144"/>
      <c r="K35" s="20"/>
      <c r="L35" s="144"/>
      <c r="M35" s="20"/>
      <c r="N35" s="144"/>
      <c r="O35" s="20"/>
      <c r="P35" s="20"/>
      <c r="Q35" s="144"/>
      <c r="R35" s="20"/>
      <c r="S35" s="144"/>
      <c r="T35" s="20"/>
      <c r="U35" s="144"/>
      <c r="V35" s="20"/>
      <c r="W35" s="144"/>
      <c r="X35" s="20"/>
      <c r="Y35" s="20"/>
      <c r="Z35" s="20"/>
      <c r="AA35" s="20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sheetProtection algorithmName="SHA-512" hashValue="5yZMVTb90ZKC7qWugSw6/R5+wohhREvNyQzDqbU+HRrRoCewg9MRFboLt5IFeBh4GmVtau5nP1e+QHduP3OWVA==" saltValue="pO3qIG0TOsoXFMkRiZNH2g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229" priority="30" operator="containsText" text="N/A">
      <formula>NOT(ISERROR(SEARCH("N/A",F8)))</formula>
    </cfRule>
    <cfRule type="cellIs" dxfId="228" priority="37" operator="between">
      <formula>0.01</formula>
      <formula>13</formula>
    </cfRule>
    <cfRule type="cellIs" dxfId="227" priority="38" operator="between">
      <formula>13</formula>
      <formula>18</formula>
    </cfRule>
    <cfRule type="cellIs" dxfId="226" priority="39" operator="greaterThan">
      <formula>18</formula>
    </cfRule>
    <cfRule type="cellIs" dxfId="225" priority="40" operator="greaterThan">
      <formula>18</formula>
    </cfRule>
  </conditionalFormatting>
  <conditionalFormatting sqref="T8:T9 K8:K9">
    <cfRule type="cellIs" dxfId="224" priority="36" operator="greaterThan">
      <formula>0.5</formula>
    </cfRule>
  </conditionalFormatting>
  <conditionalFormatting sqref="M8:M9 V8:V9">
    <cfRule type="cellIs" dxfId="223" priority="35" operator="greaterThan">
      <formula>0.49</formula>
    </cfRule>
  </conditionalFormatting>
  <conditionalFormatting sqref="X8:X9 O8:O9">
    <cfRule type="cellIs" dxfId="222" priority="34" operator="greaterThan">
      <formula>0.5</formula>
    </cfRule>
  </conditionalFormatting>
  <conditionalFormatting sqref="Z8:AA9">
    <cfRule type="cellIs" dxfId="221" priority="31" operator="between">
      <formula>0.0001</formula>
      <formula>0.1</formula>
    </cfRule>
    <cfRule type="cellIs" dxfId="220" priority="32" operator="between">
      <formula>0.1</formula>
      <formula>0.19</formula>
    </cfRule>
    <cfRule type="cellIs" dxfId="219" priority="33" operator="greaterThan">
      <formula>0.2</formula>
    </cfRule>
  </conditionalFormatting>
  <conditionalFormatting sqref="J8:J9">
    <cfRule type="expression" dxfId="218" priority="29">
      <formula>($J8/$P8*100)&gt;49.49</formula>
    </cfRule>
  </conditionalFormatting>
  <conditionalFormatting sqref="L8:L9">
    <cfRule type="expression" dxfId="217" priority="28">
      <formula>($L8/$P8*100)&gt;49.49</formula>
    </cfRule>
  </conditionalFormatting>
  <conditionalFormatting sqref="N8:N9">
    <cfRule type="expression" dxfId="216" priority="27">
      <formula>($N8/$P8*100)&gt;49.49</formula>
    </cfRule>
  </conditionalFormatting>
  <conditionalFormatting sqref="S8:S9">
    <cfRule type="expression" dxfId="215" priority="26">
      <formula>($S8/$Y8*100)&gt;49.49</formula>
    </cfRule>
  </conditionalFormatting>
  <conditionalFormatting sqref="U8:U9">
    <cfRule type="expression" dxfId="214" priority="25">
      <formula>($U8/$Y8*100)&gt;49.49</formula>
    </cfRule>
  </conditionalFormatting>
  <conditionalFormatting sqref="W8:W9">
    <cfRule type="expression" dxfId="213" priority="24">
      <formula>($W8/$Y8*100)&gt;49.49</formula>
    </cfRule>
  </conditionalFormatting>
  <conditionalFormatting sqref="L9">
    <cfRule type="expression" dxfId="212" priority="23">
      <formula>"$M$9=&gt;.499"</formula>
    </cfRule>
  </conditionalFormatting>
  <conditionalFormatting sqref="F8:AA9">
    <cfRule type="expression" dxfId="211" priority="20">
      <formula>$F8="No data"</formula>
    </cfRule>
  </conditionalFormatting>
  <conditionalFormatting sqref="F10:G25">
    <cfRule type="containsText" dxfId="210" priority="9" operator="containsText" text="N/A">
      <formula>NOT(ISERROR(SEARCH("N/A",F10)))</formula>
    </cfRule>
    <cfRule type="cellIs" dxfId="209" priority="16" operator="between">
      <formula>0.01</formula>
      <formula>13</formula>
    </cfRule>
    <cfRule type="cellIs" dxfId="208" priority="17" operator="between">
      <formula>13</formula>
      <formula>18</formula>
    </cfRule>
    <cfRule type="cellIs" dxfId="207" priority="18" operator="greaterThan">
      <formula>18</formula>
    </cfRule>
    <cfRule type="cellIs" dxfId="206" priority="19" operator="greaterThan">
      <formula>18</formula>
    </cfRule>
  </conditionalFormatting>
  <conditionalFormatting sqref="T10:T25 K10:K25">
    <cfRule type="cellIs" dxfId="205" priority="15" operator="greaterThan">
      <formula>0.5</formula>
    </cfRule>
  </conditionalFormatting>
  <conditionalFormatting sqref="M10:M25 V10:V25">
    <cfRule type="cellIs" dxfId="204" priority="14" operator="greaterThan">
      <formula>0.49</formula>
    </cfRule>
  </conditionalFormatting>
  <conditionalFormatting sqref="X10:X25 O10:O25">
    <cfRule type="cellIs" dxfId="203" priority="13" operator="greaterThan">
      <formula>0.5</formula>
    </cfRule>
  </conditionalFormatting>
  <conditionalFormatting sqref="Z10:AA25">
    <cfRule type="cellIs" dxfId="202" priority="10" operator="between">
      <formula>0.0001</formula>
      <formula>0.1</formula>
    </cfRule>
    <cfRule type="cellIs" dxfId="201" priority="11" operator="between">
      <formula>0.1</formula>
      <formula>0.19</formula>
    </cfRule>
    <cfRule type="cellIs" dxfId="200" priority="12" operator="greaterThan">
      <formula>0.2</formula>
    </cfRule>
  </conditionalFormatting>
  <conditionalFormatting sqref="J10:J25">
    <cfRule type="expression" dxfId="199" priority="8">
      <formula>($J10/$P10*100)&gt;49.49</formula>
    </cfRule>
  </conditionalFormatting>
  <conditionalFormatting sqref="L10:L25">
    <cfRule type="expression" dxfId="198" priority="7">
      <formula>($L10/$P10*100)&gt;49.49</formula>
    </cfRule>
  </conditionalFormatting>
  <conditionalFormatting sqref="N10:N25">
    <cfRule type="expression" dxfId="197" priority="6">
      <formula>($N10/$P10*100)&gt;49.49</formula>
    </cfRule>
  </conditionalFormatting>
  <conditionalFormatting sqref="S10:S25">
    <cfRule type="expression" dxfId="196" priority="5">
      <formula>($S10/$Y10*100)&gt;49.49</formula>
    </cfRule>
  </conditionalFormatting>
  <conditionalFormatting sqref="U10:U25">
    <cfRule type="expression" dxfId="195" priority="4">
      <formula>($U10/$Y10*100)&gt;49.49</formula>
    </cfRule>
  </conditionalFormatting>
  <conditionalFormatting sqref="W10:W25">
    <cfRule type="expression" dxfId="194" priority="3">
      <formula>($W10/$Y10*100)&gt;49.49</formula>
    </cfRule>
  </conditionalFormatting>
  <conditionalFormatting sqref="L11 L13 L15 L17 L19 L21 L23 L25">
    <cfRule type="expression" dxfId="193" priority="2">
      <formula>"$M$9=&gt;.499"</formula>
    </cfRule>
  </conditionalFormatting>
  <conditionalFormatting sqref="F10:AA25">
    <cfRule type="expression" dxfId="192" priority="1">
      <formula>$F10="No data"</formula>
    </cfRule>
  </conditionalFormatting>
  <hyperlinks>
    <hyperlink ref="C28:E30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5"/>
  <cols>
    <col min="1" max="1" width="4" style="39" customWidth="1"/>
    <col min="2" max="2" width="59.7265625" style="39" customWidth="1"/>
    <col min="3" max="3" width="11.7265625" style="39" customWidth="1"/>
    <col min="4" max="4" width="7.7265625" style="39" customWidth="1"/>
    <col min="5" max="5" width="10" style="39" customWidth="1"/>
    <col min="6" max="7" width="12" style="39" customWidth="1"/>
    <col min="8" max="8" width="5.1796875" style="147" customWidth="1"/>
    <col min="9" max="9" width="6.81640625" style="39" customWidth="1"/>
    <col min="10" max="10" width="5.1796875" style="147" customWidth="1"/>
    <col min="11" max="11" width="6.81640625" style="39" customWidth="1"/>
    <col min="12" max="12" width="5.1796875" style="147" customWidth="1"/>
    <col min="13" max="13" width="6.81640625" style="39" customWidth="1"/>
    <col min="14" max="14" width="5.1796875" style="147" customWidth="1"/>
    <col min="15" max="15" width="6.81640625" style="39" customWidth="1"/>
    <col min="16" max="16" width="11.54296875" style="39" customWidth="1"/>
    <col min="17" max="17" width="5.1796875" style="147" customWidth="1"/>
    <col min="18" max="18" width="6.81640625" style="39" customWidth="1"/>
    <col min="19" max="19" width="5.1796875" style="147" customWidth="1"/>
    <col min="20" max="20" width="6.81640625" style="39" customWidth="1"/>
    <col min="21" max="21" width="5.1796875" style="147" customWidth="1"/>
    <col min="22" max="22" width="6.81640625" style="39" customWidth="1"/>
    <col min="23" max="23" width="5.1796875" style="147" customWidth="1"/>
    <col min="24" max="24" width="6.81640625" style="39" customWidth="1"/>
    <col min="25" max="25" width="11.54296875" style="39" customWidth="1"/>
    <col min="26" max="27" width="10.7265625" style="39" customWidth="1"/>
    <col min="28" max="28" width="9.1796875" style="39" customWidth="1"/>
    <col min="29" max="30" width="0" style="39" hidden="1" customWidth="1"/>
    <col min="31" max="16384" width="9.1796875" style="39" hidden="1"/>
  </cols>
  <sheetData>
    <row r="1" spans="1:28" ht="35.25" customHeight="1" x14ac:dyDescent="0.35">
      <c r="A1" s="15"/>
      <c r="B1" s="118" t="s">
        <v>127</v>
      </c>
      <c r="C1" s="100"/>
      <c r="D1" s="100"/>
      <c r="E1" s="100"/>
      <c r="F1" s="100"/>
      <c r="G1" s="100"/>
      <c r="H1" s="141"/>
      <c r="I1" s="100"/>
      <c r="J1" s="141"/>
      <c r="K1" s="100"/>
      <c r="L1" s="141"/>
      <c r="M1" s="100"/>
      <c r="N1" s="141"/>
      <c r="O1" s="100"/>
      <c r="P1" s="100"/>
      <c r="Q1" s="141"/>
      <c r="R1" s="100"/>
      <c r="S1" s="141"/>
      <c r="T1" s="100"/>
      <c r="U1" s="141"/>
      <c r="V1" s="100"/>
      <c r="W1" s="141"/>
      <c r="X1" s="100"/>
      <c r="Y1" s="100"/>
      <c r="Z1" s="100"/>
      <c r="AA1" s="100"/>
      <c r="AB1" s="100"/>
    </row>
    <row r="2" spans="1:28" s="50" customFormat="1" ht="5.15" customHeight="1" x14ac:dyDescent="0.35">
      <c r="B2" s="148"/>
      <c r="C2" s="149"/>
      <c r="D2" s="149"/>
      <c r="E2" s="149"/>
      <c r="F2" s="149"/>
      <c r="G2" s="149"/>
      <c r="H2" s="150"/>
      <c r="I2" s="149"/>
      <c r="J2" s="150"/>
      <c r="K2" s="149"/>
      <c r="L2" s="150"/>
      <c r="M2" s="149"/>
      <c r="N2" s="150"/>
      <c r="O2" s="149"/>
      <c r="P2" s="149"/>
      <c r="Q2" s="150"/>
      <c r="R2" s="149"/>
      <c r="S2" s="150"/>
      <c r="T2" s="149"/>
      <c r="U2" s="150"/>
      <c r="V2" s="149"/>
      <c r="W2" s="150"/>
      <c r="X2" s="149"/>
      <c r="Y2" s="149"/>
      <c r="AB2" s="149"/>
    </row>
    <row r="3" spans="1:28" s="114" customFormat="1" ht="31.5" customHeight="1" x14ac:dyDescent="0.45">
      <c r="B3" s="501" t="s">
        <v>121</v>
      </c>
      <c r="C3" s="115"/>
      <c r="D3" s="115"/>
      <c r="E3" s="115"/>
      <c r="F3" s="115"/>
      <c r="H3" s="142"/>
      <c r="I3" s="115"/>
      <c r="J3" s="142"/>
      <c r="K3" s="115"/>
      <c r="L3" s="142"/>
      <c r="M3" s="116"/>
      <c r="N3" s="142"/>
      <c r="O3" s="116"/>
      <c r="P3" s="116"/>
      <c r="Q3" s="142"/>
      <c r="R3" s="116"/>
      <c r="S3" s="142"/>
      <c r="T3" s="116"/>
      <c r="U3" s="142"/>
      <c r="V3" s="116"/>
      <c r="W3" s="142"/>
      <c r="X3" s="116"/>
      <c r="Y3" s="116"/>
      <c r="Z3" s="115"/>
      <c r="AA3" s="117"/>
    </row>
    <row r="4" spans="1:28" ht="35.5" customHeight="1" thickBot="1" x14ac:dyDescent="0.6">
      <c r="B4" s="152" t="s">
        <v>190</v>
      </c>
      <c r="C4" s="18"/>
      <c r="D4" s="18"/>
      <c r="E4" s="18"/>
      <c r="F4" s="51"/>
      <c r="G4" s="18"/>
      <c r="H4" s="143"/>
      <c r="I4" s="18"/>
      <c r="J4" s="143"/>
      <c r="K4" s="18"/>
      <c r="L4" s="143"/>
      <c r="M4" s="19"/>
      <c r="N4" s="143"/>
      <c r="O4" s="19"/>
      <c r="P4" s="19"/>
      <c r="Q4" s="143"/>
      <c r="R4" s="19"/>
      <c r="S4" s="143"/>
      <c r="T4" s="19"/>
      <c r="U4" s="143"/>
      <c r="V4" s="19"/>
      <c r="W4" s="143"/>
      <c r="X4" s="19"/>
      <c r="Y4" s="19"/>
      <c r="Z4" s="18"/>
      <c r="AA4" s="20"/>
    </row>
    <row r="5" spans="1:28" ht="30.75" customHeight="1" thickTop="1" thickBot="1" x14ac:dyDescent="0.4">
      <c r="B5" s="372" t="s">
        <v>18</v>
      </c>
      <c r="C5" s="373" t="s">
        <v>22</v>
      </c>
      <c r="D5" s="373" t="s">
        <v>91</v>
      </c>
      <c r="E5" s="373" t="s">
        <v>23</v>
      </c>
      <c r="F5" s="333" t="s">
        <v>28</v>
      </c>
      <c r="G5" s="334"/>
      <c r="H5" s="333" t="s">
        <v>31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3" t="s">
        <v>4</v>
      </c>
      <c r="AA5" s="334"/>
    </row>
    <row r="6" spans="1:28" ht="44.15" customHeight="1" thickTop="1" thickBot="1" x14ac:dyDescent="0.4">
      <c r="B6" s="372"/>
      <c r="C6" s="374"/>
      <c r="D6" s="374"/>
      <c r="E6" s="374"/>
      <c r="F6" s="335" t="s">
        <v>29</v>
      </c>
      <c r="G6" s="337" t="s">
        <v>30</v>
      </c>
      <c r="H6" s="333" t="s">
        <v>36</v>
      </c>
      <c r="I6" s="339"/>
      <c r="J6" s="339"/>
      <c r="K6" s="339"/>
      <c r="L6" s="339"/>
      <c r="M6" s="339"/>
      <c r="N6" s="339"/>
      <c r="O6" s="339"/>
      <c r="P6" s="339"/>
      <c r="Q6" s="333" t="s">
        <v>35</v>
      </c>
      <c r="R6" s="339"/>
      <c r="S6" s="339"/>
      <c r="T6" s="339"/>
      <c r="U6" s="339"/>
      <c r="V6" s="339"/>
      <c r="W6" s="339"/>
      <c r="X6" s="339"/>
      <c r="Y6" s="339"/>
      <c r="Z6" s="335" t="s">
        <v>13</v>
      </c>
      <c r="AA6" s="337" t="s">
        <v>21</v>
      </c>
    </row>
    <row r="7" spans="1:28" ht="51.75" customHeight="1" thickTop="1" thickBot="1" x14ac:dyDescent="0.4">
      <c r="B7" s="372"/>
      <c r="C7" s="375"/>
      <c r="D7" s="375"/>
      <c r="E7" s="375"/>
      <c r="F7" s="336"/>
      <c r="G7" s="338"/>
      <c r="H7" s="340" t="s">
        <v>146</v>
      </c>
      <c r="I7" s="341"/>
      <c r="J7" s="342" t="s">
        <v>32</v>
      </c>
      <c r="K7" s="342"/>
      <c r="L7" s="342" t="s">
        <v>33</v>
      </c>
      <c r="M7" s="342"/>
      <c r="N7" s="343" t="s">
        <v>34</v>
      </c>
      <c r="O7" s="342"/>
      <c r="P7" s="188" t="s">
        <v>147</v>
      </c>
      <c r="Q7" s="340" t="s">
        <v>146</v>
      </c>
      <c r="R7" s="341"/>
      <c r="S7" s="342" t="s">
        <v>32</v>
      </c>
      <c r="T7" s="342"/>
      <c r="U7" s="342" t="s">
        <v>33</v>
      </c>
      <c r="V7" s="342"/>
      <c r="W7" s="343" t="s">
        <v>34</v>
      </c>
      <c r="X7" s="342"/>
      <c r="Y7" s="188" t="s">
        <v>147</v>
      </c>
      <c r="Z7" s="336"/>
      <c r="AA7" s="338"/>
    </row>
    <row r="8" spans="1:28" s="99" customFormat="1" ht="21.75" customHeight="1" thickTop="1" thickBot="1" x14ac:dyDescent="0.4">
      <c r="B8" s="33" t="s">
        <v>201</v>
      </c>
      <c r="C8" s="33" t="s">
        <v>27</v>
      </c>
      <c r="D8" s="75">
        <v>1</v>
      </c>
      <c r="E8" s="33" t="s">
        <v>25</v>
      </c>
      <c r="F8" s="247">
        <f>INDEX(Q1_Paeds,15,7)</f>
        <v>78</v>
      </c>
      <c r="G8" s="247">
        <f>INDEX(Q1_Paeds,15,8)</f>
        <v>0</v>
      </c>
      <c r="H8" s="233">
        <f>INDEX(Q1_Paeds,15,9)</f>
        <v>301</v>
      </c>
      <c r="I8" s="234">
        <f>IFERROR(H8/P8,0)</f>
        <v>0.34557979334098737</v>
      </c>
      <c r="J8" s="235">
        <f>INDEX(Q1_Paeds,15,10)</f>
        <v>276</v>
      </c>
      <c r="K8" s="234">
        <f>IFERROR(J8/P8,0)</f>
        <v>0.31687715269804823</v>
      </c>
      <c r="L8" s="235">
        <f>INDEX(Q1_Paeds,15,11)</f>
        <v>269</v>
      </c>
      <c r="M8" s="234">
        <f>IFERROR(L8/P8,0)</f>
        <v>0.30884041331802525</v>
      </c>
      <c r="N8" s="235">
        <f>INDEX(Q1_Paeds,15,12)</f>
        <v>25</v>
      </c>
      <c r="O8" s="234">
        <f>IFERROR(N8/P8,0)</f>
        <v>2.8702640642939151E-2</v>
      </c>
      <c r="P8" s="236">
        <f>INDEX(Q1_Paeds,15,13)</f>
        <v>871</v>
      </c>
      <c r="Q8" s="233">
        <f>INDEX(Q1_Paeds,15,15)</f>
        <v>0</v>
      </c>
      <c r="R8" s="234">
        <f>IFERROR(Q8/Y8,0)</f>
        <v>0</v>
      </c>
      <c r="S8" s="235">
        <f>INDEX(Q1_Paeds,15,16)</f>
        <v>0</v>
      </c>
      <c r="T8" s="234">
        <f>IFERROR(S8/Y8,0)</f>
        <v>0</v>
      </c>
      <c r="U8" s="237">
        <f>INDEX(Q1_Paeds,15,17)</f>
        <v>0</v>
      </c>
      <c r="V8" s="234">
        <f>IFERROR(U8/Y8,0)</f>
        <v>0</v>
      </c>
      <c r="W8" s="235">
        <f>INDEX(Q1_Paeds,15,18)</f>
        <v>0</v>
      </c>
      <c r="X8" s="234">
        <f>IFERROR(W8/Y8,0)</f>
        <v>0</v>
      </c>
      <c r="Y8" s="236">
        <f>INDEX(Q1_Paeds,15,19)</f>
        <v>0</v>
      </c>
      <c r="Z8" s="248">
        <f>INDEX(Q1_Paeds,15,21)</f>
        <v>5.8999999999999997E-2</v>
      </c>
      <c r="AA8" s="249">
        <f>INDEX(Q1_Paeds,15,22)</f>
        <v>0</v>
      </c>
    </row>
    <row r="9" spans="1:28" s="13" customFormat="1" ht="21.75" customHeight="1" thickTop="1" thickBot="1" x14ac:dyDescent="0.4">
      <c r="B9" s="34" t="s">
        <v>196</v>
      </c>
      <c r="C9" s="34" t="s">
        <v>27</v>
      </c>
      <c r="D9" s="76">
        <v>2</v>
      </c>
      <c r="E9" s="34" t="s">
        <v>26</v>
      </c>
      <c r="F9" s="250">
        <f>INDEX(Q1_Paeds,6,7)</f>
        <v>5</v>
      </c>
      <c r="G9" s="251">
        <f>INDEX(Q1_Paeds,6,8)</f>
        <v>0</v>
      </c>
      <c r="H9" s="238">
        <f>INDEX(Q1_Paeds,6,9)</f>
        <v>257</v>
      </c>
      <c r="I9" s="239">
        <f>IFERROR(H9/P9,0)</f>
        <v>0.36044880785413747</v>
      </c>
      <c r="J9" s="240">
        <f>INDEX(Q1_Paeds,6,10)</f>
        <v>113</v>
      </c>
      <c r="K9" s="239">
        <f>IFERROR(J9/P9,0)</f>
        <v>0.15848527349228611</v>
      </c>
      <c r="L9" s="240">
        <f>INDEX(Q1_Paeds,6,11)</f>
        <v>59</v>
      </c>
      <c r="M9" s="239">
        <f>IFERROR(L9/P9,0)</f>
        <v>8.2748948106591863E-2</v>
      </c>
      <c r="N9" s="240">
        <f>INDEX(Q1_Paeds,6,12)</f>
        <v>284</v>
      </c>
      <c r="O9" s="239">
        <f>IFERROR(N9/P9,0)</f>
        <v>0.39831697054698456</v>
      </c>
      <c r="P9" s="241">
        <f>INDEX(Q1_Paeds,6,13)</f>
        <v>713</v>
      </c>
      <c r="Q9" s="242">
        <f>INDEX(Q1_Paeds,6,15)</f>
        <v>0</v>
      </c>
      <c r="R9" s="239">
        <f>IFERROR(Q9/Y9,0)</f>
        <v>0</v>
      </c>
      <c r="S9" s="240">
        <f>INDEX(Q1_Paeds,6,16)</f>
        <v>0</v>
      </c>
      <c r="T9" s="239">
        <f>IFERROR(S9/Y9,0)</f>
        <v>0</v>
      </c>
      <c r="U9" s="243">
        <f>INDEX(Q1_Paeds,6,17)</f>
        <v>0</v>
      </c>
      <c r="V9" s="239">
        <f>IFERROR(U9/Y9,0)</f>
        <v>0</v>
      </c>
      <c r="W9" s="240">
        <f>INDEX(Q1_Paeds,6,18)</f>
        <v>0</v>
      </c>
      <c r="X9" s="239">
        <f>IFERROR(W9/Y9,0)</f>
        <v>0</v>
      </c>
      <c r="Y9" s="241">
        <f>INDEX(Q1_Paeds,6,19)</f>
        <v>0</v>
      </c>
      <c r="Z9" s="252">
        <f>INDEX(Q1_Paeds,6,21)</f>
        <v>0.15</v>
      </c>
      <c r="AA9" s="253">
        <f>INDEX(Q1_Paeds,6,22)</f>
        <v>0</v>
      </c>
    </row>
    <row r="10" spans="1:28" s="13" customFormat="1" ht="21.75" customHeight="1" thickTop="1" thickBot="1" x14ac:dyDescent="0.4">
      <c r="B10" s="31" t="s">
        <v>195</v>
      </c>
      <c r="C10" s="31" t="s">
        <v>27</v>
      </c>
      <c r="D10" s="73">
        <v>3</v>
      </c>
      <c r="E10" s="31" t="s">
        <v>26</v>
      </c>
      <c r="F10" s="247" t="str">
        <f>INDEX(Q1_Paeds,5,7)</f>
        <v>No data</v>
      </c>
      <c r="G10" s="254" t="str">
        <f>INDEX(Q1_Paeds,5,8)</f>
        <v>No data</v>
      </c>
      <c r="H10" s="244" t="str">
        <f>INDEX(Q1_Paeds,5,9)</f>
        <v>No data</v>
      </c>
      <c r="I10" s="234">
        <f>IFERROR(H10/P10,0)</f>
        <v>0</v>
      </c>
      <c r="J10" s="235" t="str">
        <f>INDEX(Q1_Paeds,5,10)</f>
        <v>No data</v>
      </c>
      <c r="K10" s="234">
        <f>IFERROR(J10/P10,0)</f>
        <v>0</v>
      </c>
      <c r="L10" s="235" t="str">
        <f>INDEX(Q1_Paeds,5,11)</f>
        <v>No data</v>
      </c>
      <c r="M10" s="234">
        <f>IFERROR(L10/P10,0)</f>
        <v>0</v>
      </c>
      <c r="N10" s="235" t="str">
        <f>INDEX(Q1_Paeds,5,12)</f>
        <v>No data</v>
      </c>
      <c r="O10" s="234">
        <f>IFERROR(N10/P10,0)</f>
        <v>0</v>
      </c>
      <c r="P10" s="236" t="str">
        <f>INDEX(Q1_Paeds,5,13)</f>
        <v>No data</v>
      </c>
      <c r="Q10" s="233" t="str">
        <f>INDEX(Q1_Paeds,5,15)</f>
        <v>No data</v>
      </c>
      <c r="R10" s="234">
        <f>IFERROR(Q10/Y10,0)</f>
        <v>0</v>
      </c>
      <c r="S10" s="235" t="str">
        <f>INDEX(Q1_Paeds,5,16)</f>
        <v>No data</v>
      </c>
      <c r="T10" s="234">
        <f>IFERROR(S10/Y10,0)</f>
        <v>0</v>
      </c>
      <c r="U10" s="237" t="str">
        <f>INDEX(Q1_Paeds,5,17)</f>
        <v>No data</v>
      </c>
      <c r="V10" s="234">
        <f>IFERROR(U10/Y10,0)</f>
        <v>0</v>
      </c>
      <c r="W10" s="235" t="str">
        <f>INDEX(Q1_Paeds,5,18)</f>
        <v>No data</v>
      </c>
      <c r="X10" s="234">
        <f>IFERROR(W10/Y10,0)</f>
        <v>0</v>
      </c>
      <c r="Y10" s="236" t="str">
        <f>INDEX(Q1_Paeds,5,19)</f>
        <v>No data</v>
      </c>
      <c r="Z10" s="248" t="str">
        <f>INDEX(Q1_Paeds,5,21)</f>
        <v>No data</v>
      </c>
      <c r="AA10" s="249" t="str">
        <f>INDEX(Q1_Paeds,5,22)</f>
        <v>No data</v>
      </c>
    </row>
    <row r="11" spans="1:28" s="13" customFormat="1" ht="21.75" customHeight="1" thickTop="1" thickBot="1" x14ac:dyDescent="0.4">
      <c r="B11" s="35" t="s">
        <v>197</v>
      </c>
      <c r="C11" s="35" t="s">
        <v>27</v>
      </c>
      <c r="D11" s="77">
        <v>3</v>
      </c>
      <c r="E11" s="35" t="s">
        <v>26</v>
      </c>
      <c r="F11" s="250" t="str">
        <f>INDEX(Q1_Paeds,7,7)</f>
        <v>No data</v>
      </c>
      <c r="G11" s="251" t="str">
        <f>INDEX(Q1_Paeds,7,8)</f>
        <v>No data</v>
      </c>
      <c r="H11" s="238" t="str">
        <f>INDEX(Q1_Paeds,7,9)</f>
        <v>No data</v>
      </c>
      <c r="I11" s="239">
        <f t="shared" ref="I11:I25" si="0">IFERROR(H11/P11,0)</f>
        <v>0</v>
      </c>
      <c r="J11" s="240" t="str">
        <f>INDEX(Q1_Paeds,7,10)</f>
        <v>No data</v>
      </c>
      <c r="K11" s="239">
        <f t="shared" ref="K11:K25" si="1">IFERROR(J11/P11,0)</f>
        <v>0</v>
      </c>
      <c r="L11" s="240" t="str">
        <f>INDEX(Q1_Paeds,7,11)</f>
        <v>No data</v>
      </c>
      <c r="M11" s="239">
        <f t="shared" ref="M11:M25" si="2">IFERROR(L11/P11,0)</f>
        <v>0</v>
      </c>
      <c r="N11" s="240" t="str">
        <f>INDEX(Q1_Paeds,7,12)</f>
        <v>No data</v>
      </c>
      <c r="O11" s="239">
        <f t="shared" ref="O11:O25" si="3">IFERROR(N11/P11,0)</f>
        <v>0</v>
      </c>
      <c r="P11" s="241" t="str">
        <f>INDEX(Q1_Paeds,7,13)</f>
        <v>No data</v>
      </c>
      <c r="Q11" s="242" t="str">
        <f>INDEX(Q1_Paeds,7,15)</f>
        <v>No data</v>
      </c>
      <c r="R11" s="239">
        <f t="shared" ref="R11:R25" si="4">IFERROR(Q11/Y11,0)</f>
        <v>0</v>
      </c>
      <c r="S11" s="240" t="str">
        <f>INDEX(Q1_Paeds,7,16)</f>
        <v>No data</v>
      </c>
      <c r="T11" s="239">
        <f t="shared" ref="T11:T25" si="5">IFERROR(S11/Y11,0)</f>
        <v>0</v>
      </c>
      <c r="U11" s="243" t="str">
        <f>INDEX(Q1_Paeds,7,17)</f>
        <v>No data</v>
      </c>
      <c r="V11" s="239">
        <f t="shared" ref="V11:V25" si="6">IFERROR(U11/Y11,0)</f>
        <v>0</v>
      </c>
      <c r="W11" s="240" t="str">
        <f>INDEX(Q1_Paeds,7,18)</f>
        <v>No data</v>
      </c>
      <c r="X11" s="239">
        <f t="shared" ref="X11:X25" si="7">IFERROR(W11/Y11,0)</f>
        <v>0</v>
      </c>
      <c r="Y11" s="241" t="str">
        <f>INDEX(Q1_Paeds,7,19)</f>
        <v>No data</v>
      </c>
      <c r="Z11" s="252" t="str">
        <f>INDEX(Q1_Paeds,7,21)</f>
        <v>No data</v>
      </c>
      <c r="AA11" s="253" t="str">
        <f>INDEX(Q1_Paeds,7,22)</f>
        <v>No data</v>
      </c>
    </row>
    <row r="12" spans="1:28" s="13" customFormat="1" ht="21.75" customHeight="1" thickTop="1" thickBot="1" x14ac:dyDescent="0.4">
      <c r="B12" s="33" t="s">
        <v>198</v>
      </c>
      <c r="C12" s="33" t="s">
        <v>27</v>
      </c>
      <c r="D12" s="75">
        <v>3</v>
      </c>
      <c r="E12" s="33" t="s">
        <v>26</v>
      </c>
      <c r="F12" s="247">
        <f>INDEX(Q1_Paeds,8,7)</f>
        <v>9</v>
      </c>
      <c r="G12" s="254">
        <f>INDEX(Q1_Paeds,8,8)</f>
        <v>11</v>
      </c>
      <c r="H12" s="244">
        <f>INDEX(Q1_Paeds,8,9)</f>
        <v>6</v>
      </c>
      <c r="I12" s="234">
        <f t="shared" si="0"/>
        <v>0.375</v>
      </c>
      <c r="J12" s="235">
        <f>INDEX(Q1_Paeds,8,10)</f>
        <v>6</v>
      </c>
      <c r="K12" s="234">
        <f t="shared" si="1"/>
        <v>0.375</v>
      </c>
      <c r="L12" s="235">
        <f>INDEX(Q1_Paeds,8,11)</f>
        <v>4</v>
      </c>
      <c r="M12" s="234">
        <f t="shared" si="2"/>
        <v>0.25</v>
      </c>
      <c r="N12" s="235">
        <f>INDEX(Q1_Paeds,8,12)</f>
        <v>0</v>
      </c>
      <c r="O12" s="234">
        <f t="shared" si="3"/>
        <v>0</v>
      </c>
      <c r="P12" s="236">
        <f>INDEX(Q1_Paeds,8,13)</f>
        <v>16</v>
      </c>
      <c r="Q12" s="233">
        <f>INDEX(Q1_Paeds,8,15)</f>
        <v>20</v>
      </c>
      <c r="R12" s="234">
        <f t="shared" si="4"/>
        <v>0.54054054054054057</v>
      </c>
      <c r="S12" s="235">
        <f>INDEX(Q1_Paeds,8,16)</f>
        <v>6</v>
      </c>
      <c r="T12" s="234">
        <f t="shared" si="5"/>
        <v>0.16216216216216217</v>
      </c>
      <c r="U12" s="237">
        <f>INDEX(Q1_Paeds,8,17)</f>
        <v>4</v>
      </c>
      <c r="V12" s="234">
        <f t="shared" si="6"/>
        <v>0.10810810810810811</v>
      </c>
      <c r="W12" s="235">
        <f>INDEX(Q1_Paeds,8,18)</f>
        <v>7</v>
      </c>
      <c r="X12" s="234">
        <f t="shared" si="7"/>
        <v>0.1891891891891892</v>
      </c>
      <c r="Y12" s="236">
        <f>INDEX(Q1_Paeds,8,19)</f>
        <v>37</v>
      </c>
      <c r="Z12" s="248">
        <f>INDEX(Q1_Paeds,8,21)</f>
        <v>0.3095</v>
      </c>
      <c r="AA12" s="249">
        <f>INDEX(Q1_Paeds,8,22)</f>
        <v>0.06</v>
      </c>
    </row>
    <row r="13" spans="1:28" s="13" customFormat="1" ht="21.75" customHeight="1" thickTop="1" thickBot="1" x14ac:dyDescent="0.4">
      <c r="B13" s="34" t="s">
        <v>199</v>
      </c>
      <c r="C13" s="34" t="s">
        <v>27</v>
      </c>
      <c r="D13" s="76">
        <v>3</v>
      </c>
      <c r="E13" s="34" t="s">
        <v>26</v>
      </c>
      <c r="F13" s="250">
        <f>INDEX(Q1_Paeds,9,7)</f>
        <v>14</v>
      </c>
      <c r="G13" s="251">
        <f>INDEX(Q1_Paeds,9,8)</f>
        <v>30</v>
      </c>
      <c r="H13" s="238">
        <f>INDEX(Q1_Paeds,9,9)</f>
        <v>2</v>
      </c>
      <c r="I13" s="239">
        <f t="shared" si="0"/>
        <v>6.6666666666666666E-2</v>
      </c>
      <c r="J13" s="240">
        <f>INDEX(Q1_Paeds,9,10)</f>
        <v>12</v>
      </c>
      <c r="K13" s="239">
        <f t="shared" si="1"/>
        <v>0.4</v>
      </c>
      <c r="L13" s="240">
        <f>INDEX(Q1_Paeds,9,11)</f>
        <v>10</v>
      </c>
      <c r="M13" s="239">
        <f t="shared" si="2"/>
        <v>0.33333333333333331</v>
      </c>
      <c r="N13" s="240">
        <f>INDEX(Q1_Paeds,9,12)</f>
        <v>6</v>
      </c>
      <c r="O13" s="239">
        <f t="shared" si="3"/>
        <v>0.2</v>
      </c>
      <c r="P13" s="241">
        <f>INDEX(Q1_Paeds,9,13)</f>
        <v>30</v>
      </c>
      <c r="Q13" s="242">
        <f>INDEX(Q1_Paeds,9,15)</f>
        <v>7</v>
      </c>
      <c r="R13" s="239">
        <f t="shared" si="4"/>
        <v>0.20588235294117646</v>
      </c>
      <c r="S13" s="240">
        <f>INDEX(Q1_Paeds,9,16)</f>
        <v>6</v>
      </c>
      <c r="T13" s="239">
        <f t="shared" si="5"/>
        <v>0.17647058823529413</v>
      </c>
      <c r="U13" s="243">
        <f>INDEX(Q1_Paeds,9,17)</f>
        <v>11</v>
      </c>
      <c r="V13" s="239">
        <f t="shared" si="6"/>
        <v>0.3235294117647059</v>
      </c>
      <c r="W13" s="240">
        <f>INDEX(Q1_Paeds,9,18)</f>
        <v>10</v>
      </c>
      <c r="X13" s="239">
        <f t="shared" si="7"/>
        <v>0.29411764705882354</v>
      </c>
      <c r="Y13" s="241">
        <f>INDEX(Q1_Paeds,9,19)</f>
        <v>34</v>
      </c>
      <c r="Z13" s="252">
        <f>INDEX(Q1_Paeds,9,21)</f>
        <v>0.20369999999999999</v>
      </c>
      <c r="AA13" s="253">
        <f>INDEX(Q1_Paeds,9,22)</f>
        <v>4.65E-2</v>
      </c>
    </row>
    <row r="14" spans="1:28" s="13" customFormat="1" ht="21.75" customHeight="1" thickTop="1" thickBot="1" x14ac:dyDescent="0.4">
      <c r="B14" s="33" t="s">
        <v>202</v>
      </c>
      <c r="C14" s="33" t="s">
        <v>27</v>
      </c>
      <c r="D14" s="75">
        <v>3</v>
      </c>
      <c r="E14" s="33" t="s">
        <v>26</v>
      </c>
      <c r="F14" s="247">
        <f>INDEX(Q1_Paeds,10,7)</f>
        <v>76</v>
      </c>
      <c r="G14" s="254">
        <f>INDEX(Q1_Paeds,10,8)</f>
        <v>65</v>
      </c>
      <c r="H14" s="244">
        <f>INDEX(Q1_Paeds,10,9)</f>
        <v>17</v>
      </c>
      <c r="I14" s="234">
        <f t="shared" si="0"/>
        <v>0.42499999999999999</v>
      </c>
      <c r="J14" s="235">
        <f>INDEX(Q1_Paeds,10,10)</f>
        <v>11</v>
      </c>
      <c r="K14" s="234">
        <f t="shared" si="1"/>
        <v>0.27500000000000002</v>
      </c>
      <c r="L14" s="235">
        <f>INDEX(Q1_Paeds,10,11)</f>
        <v>12</v>
      </c>
      <c r="M14" s="234">
        <f t="shared" si="2"/>
        <v>0.3</v>
      </c>
      <c r="N14" s="235">
        <f>INDEX(Q1_Paeds,10,12)</f>
        <v>0</v>
      </c>
      <c r="O14" s="234">
        <f t="shared" si="3"/>
        <v>0</v>
      </c>
      <c r="P14" s="236">
        <f>INDEX(Q1_Paeds,10,13)</f>
        <v>40</v>
      </c>
      <c r="Q14" s="233">
        <f>INDEX(Q1_Paeds,10,15)</f>
        <v>17</v>
      </c>
      <c r="R14" s="234">
        <f t="shared" si="4"/>
        <v>0.48571428571428571</v>
      </c>
      <c r="S14" s="235">
        <f>INDEX(Q1_Paeds,10,16)</f>
        <v>7</v>
      </c>
      <c r="T14" s="234">
        <f t="shared" si="5"/>
        <v>0.2</v>
      </c>
      <c r="U14" s="237">
        <f>INDEX(Q1_Paeds,10,17)</f>
        <v>11</v>
      </c>
      <c r="V14" s="234">
        <f t="shared" si="6"/>
        <v>0.31428571428571428</v>
      </c>
      <c r="W14" s="235">
        <f>INDEX(Q1_Paeds,10,18)</f>
        <v>0</v>
      </c>
      <c r="X14" s="234">
        <f t="shared" si="7"/>
        <v>0</v>
      </c>
      <c r="Y14" s="236">
        <f>INDEX(Q1_Paeds,10,19)</f>
        <v>35</v>
      </c>
      <c r="Z14" s="248">
        <f>INDEX(Q1_Paeds,10,21)</f>
        <v>0</v>
      </c>
      <c r="AA14" s="249">
        <f>INDEX(Q1_Paeds,10,22)</f>
        <v>0</v>
      </c>
    </row>
    <row r="15" spans="1:28" s="13" customFormat="1" ht="21.75" customHeight="1" thickTop="1" thickBot="1" x14ac:dyDescent="0.4">
      <c r="B15" s="34" t="s">
        <v>203</v>
      </c>
      <c r="C15" s="34" t="s">
        <v>27</v>
      </c>
      <c r="D15" s="76">
        <v>3</v>
      </c>
      <c r="E15" s="34" t="s">
        <v>26</v>
      </c>
      <c r="F15" s="250">
        <f>INDEX(Q1_Paeds,11,7)</f>
        <v>22</v>
      </c>
      <c r="G15" s="251">
        <f>INDEX(Q1_Paeds,11,8)</f>
        <v>40</v>
      </c>
      <c r="H15" s="238">
        <f>INDEX(Q1_Paeds,11,9)</f>
        <v>0</v>
      </c>
      <c r="I15" s="239">
        <f t="shared" si="0"/>
        <v>0</v>
      </c>
      <c r="J15" s="240">
        <f>INDEX(Q1_Paeds,11,10)</f>
        <v>1</v>
      </c>
      <c r="K15" s="239">
        <f t="shared" si="1"/>
        <v>0.5</v>
      </c>
      <c r="L15" s="240">
        <f>INDEX(Q1_Paeds,11,11)</f>
        <v>1</v>
      </c>
      <c r="M15" s="239">
        <f t="shared" si="2"/>
        <v>0.5</v>
      </c>
      <c r="N15" s="240">
        <f>INDEX(Q1_Paeds,11,12)</f>
        <v>0</v>
      </c>
      <c r="O15" s="239">
        <f t="shared" si="3"/>
        <v>0</v>
      </c>
      <c r="P15" s="241">
        <f>INDEX(Q1_Paeds,11,13)</f>
        <v>2</v>
      </c>
      <c r="Q15" s="242">
        <f>INDEX(Q1_Paeds,11,15)</f>
        <v>2</v>
      </c>
      <c r="R15" s="239">
        <f t="shared" si="4"/>
        <v>0.66666666666666663</v>
      </c>
      <c r="S15" s="240">
        <f>INDEX(Q1_Paeds,11,16)</f>
        <v>1</v>
      </c>
      <c r="T15" s="239">
        <f t="shared" si="5"/>
        <v>0.33333333333333331</v>
      </c>
      <c r="U15" s="243">
        <f>INDEX(Q1_Paeds,11,17)</f>
        <v>0</v>
      </c>
      <c r="V15" s="239">
        <f t="shared" si="6"/>
        <v>0</v>
      </c>
      <c r="W15" s="240">
        <f>INDEX(Q1_Paeds,11,18)</f>
        <v>0</v>
      </c>
      <c r="X15" s="239">
        <f t="shared" si="7"/>
        <v>0</v>
      </c>
      <c r="Y15" s="241">
        <f>INDEX(Q1_Paeds,11,19)</f>
        <v>3</v>
      </c>
      <c r="Z15" s="252">
        <f>INDEX(Q1_Paeds,11,21)</f>
        <v>0</v>
      </c>
      <c r="AA15" s="253">
        <f>INDEX(Q1_Paeds,11,22)</f>
        <v>0</v>
      </c>
    </row>
    <row r="16" spans="1:28" s="13" customFormat="1" ht="21.75" customHeight="1" thickTop="1" thickBot="1" x14ac:dyDescent="0.4">
      <c r="B16" s="36" t="s">
        <v>200</v>
      </c>
      <c r="C16" s="36" t="s">
        <v>27</v>
      </c>
      <c r="D16" s="78">
        <v>3</v>
      </c>
      <c r="E16" s="36" t="s">
        <v>26</v>
      </c>
      <c r="F16" s="247">
        <f>INDEX(Q1_Paeds,12,7)</f>
        <v>16</v>
      </c>
      <c r="G16" s="254">
        <f>INDEX(Q1_Paeds,12,8)</f>
        <v>35</v>
      </c>
      <c r="H16" s="244">
        <f>INDEX(Q1_Paeds,12,9)</f>
        <v>18</v>
      </c>
      <c r="I16" s="234">
        <f t="shared" si="0"/>
        <v>0.75</v>
      </c>
      <c r="J16" s="235">
        <f>INDEX(Q1_Paeds,12,10)</f>
        <v>6</v>
      </c>
      <c r="K16" s="234">
        <f t="shared" si="1"/>
        <v>0.25</v>
      </c>
      <c r="L16" s="235">
        <f>INDEX(Q1_Paeds,12,11)</f>
        <v>0</v>
      </c>
      <c r="M16" s="234">
        <f t="shared" si="2"/>
        <v>0</v>
      </c>
      <c r="N16" s="235">
        <f>INDEX(Q1_Paeds,12,12)</f>
        <v>0</v>
      </c>
      <c r="O16" s="234">
        <f t="shared" si="3"/>
        <v>0</v>
      </c>
      <c r="P16" s="236">
        <f>INDEX(Q1_Paeds,12,13)</f>
        <v>24</v>
      </c>
      <c r="Q16" s="233">
        <f>INDEX(Q1_Paeds,12,15)</f>
        <v>49</v>
      </c>
      <c r="R16" s="234">
        <f t="shared" si="4"/>
        <v>0.53260869565217395</v>
      </c>
      <c r="S16" s="235">
        <f>INDEX(Q1_Paeds,12,16)</f>
        <v>35</v>
      </c>
      <c r="T16" s="234">
        <f t="shared" si="5"/>
        <v>0.38043478260869568</v>
      </c>
      <c r="U16" s="237">
        <f>INDEX(Q1_Paeds,12,17)</f>
        <v>8</v>
      </c>
      <c r="V16" s="234">
        <f t="shared" si="6"/>
        <v>8.6956521739130432E-2</v>
      </c>
      <c r="W16" s="235">
        <f>INDEX(Q1_Paeds,12,18)</f>
        <v>0</v>
      </c>
      <c r="X16" s="234">
        <f t="shared" si="7"/>
        <v>0</v>
      </c>
      <c r="Y16" s="236">
        <f>INDEX(Q1_Paeds,12,19)</f>
        <v>92</v>
      </c>
      <c r="Z16" s="248">
        <f>INDEX(Q1_Paeds,12,21)</f>
        <v>0.11</v>
      </c>
      <c r="AA16" s="249">
        <f>INDEX(Q1_Paeds,12,22)</f>
        <v>0.1</v>
      </c>
    </row>
    <row r="17" spans="2:27" s="13" customFormat="1" ht="21.75" customHeight="1" thickTop="1" thickBot="1" x14ac:dyDescent="0.4">
      <c r="B17" s="34" t="s">
        <v>82</v>
      </c>
      <c r="C17" s="34" t="s">
        <v>27</v>
      </c>
      <c r="D17" s="76">
        <v>3</v>
      </c>
      <c r="E17" s="34" t="s">
        <v>25</v>
      </c>
      <c r="F17" s="250" t="str">
        <f>INDEX(Q1_Paeds,13,7)</f>
        <v>No data</v>
      </c>
      <c r="G17" s="251" t="str">
        <f>INDEX(Q1_Paeds,13,8)</f>
        <v>No data</v>
      </c>
      <c r="H17" s="238" t="str">
        <f>INDEX(Q1_Paeds,13,9)</f>
        <v>No data</v>
      </c>
      <c r="I17" s="239">
        <f t="shared" si="0"/>
        <v>0</v>
      </c>
      <c r="J17" s="240" t="str">
        <f>INDEX(Q1_Paeds,13,10)</f>
        <v>No data</v>
      </c>
      <c r="K17" s="239">
        <f t="shared" si="1"/>
        <v>0</v>
      </c>
      <c r="L17" s="240" t="str">
        <f>INDEX(Q1_Paeds,13,11)</f>
        <v>No data</v>
      </c>
      <c r="M17" s="239">
        <f t="shared" si="2"/>
        <v>0</v>
      </c>
      <c r="N17" s="240" t="str">
        <f>INDEX(Q1_Paeds,13,12)</f>
        <v>No data</v>
      </c>
      <c r="O17" s="239">
        <f t="shared" si="3"/>
        <v>0</v>
      </c>
      <c r="P17" s="241" t="str">
        <f>INDEX(Q1_Paeds,13,13)</f>
        <v>No data</v>
      </c>
      <c r="Q17" s="242" t="str">
        <f>INDEX(Q1_Paeds,13,15)</f>
        <v>No data</v>
      </c>
      <c r="R17" s="239">
        <f t="shared" si="4"/>
        <v>0</v>
      </c>
      <c r="S17" s="240" t="str">
        <f>INDEX(Q1_Paeds,13,16)</f>
        <v>No data</v>
      </c>
      <c r="T17" s="239">
        <f t="shared" si="5"/>
        <v>0</v>
      </c>
      <c r="U17" s="243" t="str">
        <f>INDEX(Q1_Paeds,13,17)</f>
        <v>No data</v>
      </c>
      <c r="V17" s="239">
        <f t="shared" si="6"/>
        <v>0</v>
      </c>
      <c r="W17" s="240" t="str">
        <f>INDEX(Q1_Paeds,13,18)</f>
        <v>No data</v>
      </c>
      <c r="X17" s="239">
        <f t="shared" si="7"/>
        <v>0</v>
      </c>
      <c r="Y17" s="241" t="str">
        <f>INDEX(Q1_Paeds,13,19)</f>
        <v>No data</v>
      </c>
      <c r="Z17" s="252" t="str">
        <f>INDEX(Q1_Paeds,13,21)</f>
        <v>No data</v>
      </c>
      <c r="AA17" s="253" t="str">
        <f>INDEX(Q1_Paeds,13,22)</f>
        <v>No data</v>
      </c>
    </row>
    <row r="18" spans="2:27" s="13" customFormat="1" ht="21.75" customHeight="1" thickTop="1" thickBot="1" x14ac:dyDescent="0.4">
      <c r="B18" s="33" t="s">
        <v>83</v>
      </c>
      <c r="C18" s="33" t="s">
        <v>27</v>
      </c>
      <c r="D18" s="75">
        <v>3</v>
      </c>
      <c r="E18" s="33" t="s">
        <v>25</v>
      </c>
      <c r="F18" s="247">
        <f>INDEX(Q1_Paeds,14,7)</f>
        <v>10</v>
      </c>
      <c r="G18" s="254">
        <f>INDEX(Q1_Paeds,14,8)</f>
        <v>7</v>
      </c>
      <c r="H18" s="244">
        <f>INDEX(Q1_Paeds,14,9)</f>
        <v>11</v>
      </c>
      <c r="I18" s="234">
        <f t="shared" si="0"/>
        <v>0.91666666666666663</v>
      </c>
      <c r="J18" s="235">
        <f>INDEX(Q1_Paeds,14,10)</f>
        <v>1</v>
      </c>
      <c r="K18" s="234">
        <f t="shared" si="1"/>
        <v>8.3333333333333329E-2</v>
      </c>
      <c r="L18" s="235">
        <f>INDEX(Q1_Paeds,14,11)</f>
        <v>0</v>
      </c>
      <c r="M18" s="234">
        <f t="shared" si="2"/>
        <v>0</v>
      </c>
      <c r="N18" s="235">
        <f>INDEX(Q1_Paeds,14,12)</f>
        <v>0</v>
      </c>
      <c r="O18" s="234">
        <f t="shared" si="3"/>
        <v>0</v>
      </c>
      <c r="P18" s="236">
        <f>INDEX(Q1_Paeds,14,13)</f>
        <v>12</v>
      </c>
      <c r="Q18" s="233">
        <f>INDEX(Q1_Paeds,14,15)</f>
        <v>34</v>
      </c>
      <c r="R18" s="234">
        <f t="shared" si="4"/>
        <v>0.79069767441860461</v>
      </c>
      <c r="S18" s="235">
        <f>INDEX(Q1_Paeds,14,16)</f>
        <v>9</v>
      </c>
      <c r="T18" s="234">
        <f t="shared" si="5"/>
        <v>0.20930232558139536</v>
      </c>
      <c r="U18" s="237">
        <f>INDEX(Q1_Paeds,14,17)</f>
        <v>0</v>
      </c>
      <c r="V18" s="234">
        <f t="shared" si="6"/>
        <v>0</v>
      </c>
      <c r="W18" s="235">
        <f>INDEX(Q1_Paeds,14,18)</f>
        <v>0</v>
      </c>
      <c r="X18" s="234">
        <f t="shared" si="7"/>
        <v>0</v>
      </c>
      <c r="Y18" s="236">
        <f>INDEX(Q1_Paeds,14,19)</f>
        <v>43</v>
      </c>
      <c r="Z18" s="248">
        <f>INDEX(Q1_Paeds,14,21)</f>
        <v>5.8000000000000003E-2</v>
      </c>
      <c r="AA18" s="249">
        <f>INDEX(Q1_Paeds,14,22)</f>
        <v>0.06</v>
      </c>
    </row>
    <row r="19" spans="2:27" s="13" customFormat="1" ht="21.75" customHeight="1" thickTop="1" thickBot="1" x14ac:dyDescent="0.4">
      <c r="B19" s="34" t="s">
        <v>84</v>
      </c>
      <c r="C19" s="34" t="s">
        <v>27</v>
      </c>
      <c r="D19" s="76">
        <v>3</v>
      </c>
      <c r="E19" s="34" t="s">
        <v>25</v>
      </c>
      <c r="F19" s="250">
        <f>INDEX(Q1_Paeds,16,7)</f>
        <v>6</v>
      </c>
      <c r="G19" s="251">
        <f>INDEX(Q1_Paeds,16,8)</f>
        <v>13</v>
      </c>
      <c r="H19" s="238">
        <f>INDEX(Q1_Paeds,16,9)</f>
        <v>49</v>
      </c>
      <c r="I19" s="239">
        <f t="shared" si="0"/>
        <v>0.24873096446700507</v>
      </c>
      <c r="J19" s="240">
        <f>INDEX(Q1_Paeds,16,10)</f>
        <v>44</v>
      </c>
      <c r="K19" s="239">
        <f t="shared" si="1"/>
        <v>0.2233502538071066</v>
      </c>
      <c r="L19" s="240">
        <f>INDEX(Q1_Paeds,16,11)</f>
        <v>63</v>
      </c>
      <c r="M19" s="239">
        <f t="shared" si="2"/>
        <v>0.31979695431472083</v>
      </c>
      <c r="N19" s="240">
        <f>INDEX(Q1_Paeds,16,12)</f>
        <v>41</v>
      </c>
      <c r="O19" s="239">
        <f t="shared" si="3"/>
        <v>0.20812182741116753</v>
      </c>
      <c r="P19" s="241">
        <f>INDEX(Q1_Paeds,16,13)</f>
        <v>197</v>
      </c>
      <c r="Q19" s="242">
        <f>INDEX(Q1_Paeds,16,15)</f>
        <v>20</v>
      </c>
      <c r="R19" s="239">
        <f t="shared" si="4"/>
        <v>0.17699115044247787</v>
      </c>
      <c r="S19" s="240">
        <f>INDEX(Q1_Paeds,16,16)</f>
        <v>26</v>
      </c>
      <c r="T19" s="239">
        <f t="shared" si="5"/>
        <v>0.23008849557522124</v>
      </c>
      <c r="U19" s="243">
        <f>INDEX(Q1_Paeds,16,17)</f>
        <v>48</v>
      </c>
      <c r="V19" s="239">
        <f t="shared" si="6"/>
        <v>0.4247787610619469</v>
      </c>
      <c r="W19" s="240">
        <f>INDEX(Q1_Paeds,16,18)</f>
        <v>19</v>
      </c>
      <c r="X19" s="239">
        <f t="shared" si="7"/>
        <v>0.16814159292035399</v>
      </c>
      <c r="Y19" s="241">
        <f>INDEX(Q1_Paeds,16,19)</f>
        <v>113</v>
      </c>
      <c r="Z19" s="252">
        <f>INDEX(Q1_Paeds,16,21)</f>
        <v>0.13</v>
      </c>
      <c r="AA19" s="253">
        <f>INDEX(Q1_Paeds,16,22)</f>
        <v>7.0000000000000007E-2</v>
      </c>
    </row>
    <row r="20" spans="2:27" s="13" customFormat="1" ht="21.75" customHeight="1" thickTop="1" thickBot="1" x14ac:dyDescent="0.4">
      <c r="B20" s="33" t="s">
        <v>74</v>
      </c>
      <c r="C20" s="33" t="s">
        <v>27</v>
      </c>
      <c r="D20" s="75">
        <v>3</v>
      </c>
      <c r="E20" s="33" t="s">
        <v>25</v>
      </c>
      <c r="F20" s="247">
        <f>INDEX(Q1_Paeds,17,7)</f>
        <v>12.8</v>
      </c>
      <c r="G20" s="254">
        <f>INDEX(Q1_Paeds,17,8)</f>
        <v>18.8</v>
      </c>
      <c r="H20" s="244">
        <f>INDEX(Q1_Paeds,17,9)</f>
        <v>80</v>
      </c>
      <c r="I20" s="234">
        <f t="shared" si="0"/>
        <v>0.23952095808383234</v>
      </c>
      <c r="J20" s="235">
        <f>INDEX(Q1_Paeds,17,10)</f>
        <v>41</v>
      </c>
      <c r="K20" s="234">
        <f t="shared" si="1"/>
        <v>0.12275449101796407</v>
      </c>
      <c r="L20" s="235">
        <f>INDEX(Q1_Paeds,17,11)</f>
        <v>114</v>
      </c>
      <c r="M20" s="234">
        <f t="shared" si="2"/>
        <v>0.3413173652694611</v>
      </c>
      <c r="N20" s="235">
        <f>INDEX(Q1_Paeds,17,12)</f>
        <v>99</v>
      </c>
      <c r="O20" s="234">
        <f t="shared" si="3"/>
        <v>0.29640718562874252</v>
      </c>
      <c r="P20" s="236">
        <f>INDEX(Q1_Paeds,17,13)</f>
        <v>334</v>
      </c>
      <c r="Q20" s="233">
        <f>INDEX(Q1_Paeds,17,15)</f>
        <v>36</v>
      </c>
      <c r="R20" s="234">
        <f t="shared" si="4"/>
        <v>0.15584415584415584</v>
      </c>
      <c r="S20" s="235">
        <f>INDEX(Q1_Paeds,17,16)</f>
        <v>65</v>
      </c>
      <c r="T20" s="234">
        <f t="shared" si="5"/>
        <v>0.2813852813852814</v>
      </c>
      <c r="U20" s="237">
        <f>INDEX(Q1_Paeds,17,17)</f>
        <v>104</v>
      </c>
      <c r="V20" s="234">
        <f t="shared" si="6"/>
        <v>0.45021645021645024</v>
      </c>
      <c r="W20" s="235">
        <f>INDEX(Q1_Paeds,17,18)</f>
        <v>26</v>
      </c>
      <c r="X20" s="234">
        <f t="shared" si="7"/>
        <v>0.11255411255411256</v>
      </c>
      <c r="Y20" s="236">
        <f>INDEX(Q1_Paeds,17,19)</f>
        <v>231</v>
      </c>
      <c r="Z20" s="248">
        <f>INDEX(Q1_Paeds,17,21)</f>
        <v>0.107</v>
      </c>
      <c r="AA20" s="249">
        <f>INDEX(Q1_Paeds,17,22)</f>
        <v>6.8000000000000005E-2</v>
      </c>
    </row>
    <row r="21" spans="2:27" s="13" customFormat="1" ht="21.75" customHeight="1" thickTop="1" thickBot="1" x14ac:dyDescent="0.4">
      <c r="B21" s="34" t="s">
        <v>86</v>
      </c>
      <c r="C21" s="34" t="s">
        <v>27</v>
      </c>
      <c r="D21" s="76">
        <v>3</v>
      </c>
      <c r="E21" s="34" t="s">
        <v>25</v>
      </c>
      <c r="F21" s="250">
        <f>INDEX(Q1_Paeds,18,7)</f>
        <v>11</v>
      </c>
      <c r="G21" s="251">
        <f>INDEX(Q1_Paeds,18,8)</f>
        <v>5</v>
      </c>
      <c r="H21" s="238">
        <f>INDEX(Q1_Paeds,18,9)</f>
        <v>13</v>
      </c>
      <c r="I21" s="239">
        <f t="shared" si="0"/>
        <v>0.31707317073170732</v>
      </c>
      <c r="J21" s="240">
        <f>INDEX(Q1_Paeds,18,10)</f>
        <v>27</v>
      </c>
      <c r="K21" s="239">
        <f t="shared" si="1"/>
        <v>0.65853658536585369</v>
      </c>
      <c r="L21" s="240">
        <f>INDEX(Q1_Paeds,18,11)</f>
        <v>1</v>
      </c>
      <c r="M21" s="239">
        <f t="shared" si="2"/>
        <v>2.4390243902439025E-2</v>
      </c>
      <c r="N21" s="240">
        <f>INDEX(Q1_Paeds,18,12)</f>
        <v>0</v>
      </c>
      <c r="O21" s="239">
        <f t="shared" si="3"/>
        <v>0</v>
      </c>
      <c r="P21" s="241">
        <f>INDEX(Q1_Paeds,18,13)</f>
        <v>41</v>
      </c>
      <c r="Q21" s="242">
        <f>INDEX(Q1_Paeds,18,15)</f>
        <v>3</v>
      </c>
      <c r="R21" s="239">
        <f t="shared" si="4"/>
        <v>1</v>
      </c>
      <c r="S21" s="240">
        <f>INDEX(Q1_Paeds,18,16)</f>
        <v>0</v>
      </c>
      <c r="T21" s="239">
        <f t="shared" si="5"/>
        <v>0</v>
      </c>
      <c r="U21" s="243">
        <f>INDEX(Q1_Paeds,18,17)</f>
        <v>0</v>
      </c>
      <c r="V21" s="239">
        <f t="shared" si="6"/>
        <v>0</v>
      </c>
      <c r="W21" s="240">
        <f>INDEX(Q1_Paeds,18,18)</f>
        <v>0</v>
      </c>
      <c r="X21" s="239">
        <f t="shared" si="7"/>
        <v>0</v>
      </c>
      <c r="Y21" s="241">
        <f>INDEX(Q1_Paeds,18,19)</f>
        <v>3</v>
      </c>
      <c r="Z21" s="252">
        <f>INDEX(Q1_Paeds,18,21)</f>
        <v>0</v>
      </c>
      <c r="AA21" s="253">
        <f>INDEX(Q1_Paeds,18,22)</f>
        <v>0</v>
      </c>
    </row>
    <row r="22" spans="2:27" s="13" customFormat="1" ht="21.75" customHeight="1" thickTop="1" thickBot="1" x14ac:dyDescent="0.4">
      <c r="B22" s="36" t="s">
        <v>60</v>
      </c>
      <c r="C22" s="36" t="s">
        <v>27</v>
      </c>
      <c r="D22" s="78">
        <v>3</v>
      </c>
      <c r="E22" s="36" t="s">
        <v>25</v>
      </c>
      <c r="F22" s="247">
        <f>INDEX(Q1_Paeds,19,7)</f>
        <v>7</v>
      </c>
      <c r="G22" s="254">
        <f>INDEX(Q1_Paeds,19,8)</f>
        <v>7</v>
      </c>
      <c r="H22" s="244">
        <f>INDEX(Q1_Paeds,19,9)</f>
        <v>0</v>
      </c>
      <c r="I22" s="234">
        <f t="shared" si="0"/>
        <v>0</v>
      </c>
      <c r="J22" s="235">
        <f>INDEX(Q1_Paeds,19,10)</f>
        <v>0</v>
      </c>
      <c r="K22" s="234">
        <f t="shared" si="1"/>
        <v>0</v>
      </c>
      <c r="L22" s="235">
        <f>INDEX(Q1_Paeds,19,11)</f>
        <v>0</v>
      </c>
      <c r="M22" s="234">
        <f t="shared" si="2"/>
        <v>0</v>
      </c>
      <c r="N22" s="235">
        <f>INDEX(Q1_Paeds,19,12)</f>
        <v>0</v>
      </c>
      <c r="O22" s="234">
        <f t="shared" si="3"/>
        <v>0</v>
      </c>
      <c r="P22" s="236">
        <f>INDEX(Q1_Paeds,19,13)</f>
        <v>0</v>
      </c>
      <c r="Q22" s="233">
        <f>INDEX(Q1_Paeds,19,15)</f>
        <v>7</v>
      </c>
      <c r="R22" s="234">
        <f t="shared" si="4"/>
        <v>0.10294117647058823</v>
      </c>
      <c r="S22" s="235">
        <f>INDEX(Q1_Paeds,19,16)</f>
        <v>35</v>
      </c>
      <c r="T22" s="245">
        <f t="shared" si="5"/>
        <v>0.51470588235294112</v>
      </c>
      <c r="U22" s="237">
        <f>INDEX(Q1_Paeds,19,17)</f>
        <v>26</v>
      </c>
      <c r="V22" s="234">
        <f t="shared" si="6"/>
        <v>0.38235294117647056</v>
      </c>
      <c r="W22" s="235">
        <f>INDEX(Q1_Paeds,19,18)</f>
        <v>0</v>
      </c>
      <c r="X22" s="234">
        <f t="shared" si="7"/>
        <v>0</v>
      </c>
      <c r="Y22" s="236">
        <f>INDEX(Q1_Paeds,19,19)</f>
        <v>68</v>
      </c>
      <c r="Z22" s="248">
        <f>INDEX(Q1_Paeds,19,21)</f>
        <v>5.1999999999999998E-2</v>
      </c>
      <c r="AA22" s="249">
        <f>INDEX(Q1_Paeds,19,22)</f>
        <v>0</v>
      </c>
    </row>
    <row r="23" spans="2:27" s="13" customFormat="1" ht="21.75" customHeight="1" thickTop="1" thickBot="1" x14ac:dyDescent="0.4">
      <c r="B23" s="37" t="s">
        <v>75</v>
      </c>
      <c r="C23" s="37" t="s">
        <v>27</v>
      </c>
      <c r="D23" s="79">
        <v>3</v>
      </c>
      <c r="E23" s="37" t="s">
        <v>25</v>
      </c>
      <c r="F23" s="250">
        <f>INDEX(Q1_Paeds,20,7)</f>
        <v>36</v>
      </c>
      <c r="G23" s="251">
        <f>INDEX(Q1_Paeds,20,8)</f>
        <v>0</v>
      </c>
      <c r="H23" s="242">
        <f>INDEX(Q1_Paeds,20,9)</f>
        <v>43</v>
      </c>
      <c r="I23" s="239">
        <f t="shared" si="0"/>
        <v>0.22164948453608246</v>
      </c>
      <c r="J23" s="240">
        <f>INDEX(Q1_Paeds,20,10)</f>
        <v>79</v>
      </c>
      <c r="K23" s="239">
        <f t="shared" si="1"/>
        <v>0.40721649484536082</v>
      </c>
      <c r="L23" s="240">
        <f>INDEX(Q1_Paeds,20,11)</f>
        <v>72</v>
      </c>
      <c r="M23" s="239">
        <f t="shared" si="2"/>
        <v>0.37113402061855671</v>
      </c>
      <c r="N23" s="240">
        <f>INDEX(Q1_Paeds,20,12)</f>
        <v>0</v>
      </c>
      <c r="O23" s="239">
        <f t="shared" si="3"/>
        <v>0</v>
      </c>
      <c r="P23" s="241">
        <f>INDEX(Q1_Paeds,20,13)</f>
        <v>194</v>
      </c>
      <c r="Q23" s="242">
        <f>INDEX(Q1_Paeds,20,15)</f>
        <v>27</v>
      </c>
      <c r="R23" s="239">
        <f t="shared" si="4"/>
        <v>0.26732673267326734</v>
      </c>
      <c r="S23" s="240">
        <f>INDEX(Q1_Paeds,20,16)</f>
        <v>34</v>
      </c>
      <c r="T23" s="239">
        <f t="shared" si="5"/>
        <v>0.33663366336633666</v>
      </c>
      <c r="U23" s="246">
        <f>INDEX(Q1_Paeds,20,17)</f>
        <v>40</v>
      </c>
      <c r="V23" s="239">
        <f t="shared" si="6"/>
        <v>0.39603960396039606</v>
      </c>
      <c r="W23" s="240">
        <f>INDEX(Q1_Paeds,20,18)</f>
        <v>0</v>
      </c>
      <c r="X23" s="239">
        <f t="shared" si="7"/>
        <v>0</v>
      </c>
      <c r="Y23" s="241">
        <f>INDEX(Q1_Paeds,20,19)</f>
        <v>101</v>
      </c>
      <c r="Z23" s="252">
        <f>INDEX(Q1_Paeds,20,21)</f>
        <v>8.3000000000000004E-2</v>
      </c>
      <c r="AA23" s="253">
        <f>INDEX(Q1_Paeds,20,22)</f>
        <v>0</v>
      </c>
    </row>
    <row r="24" spans="2:27" s="13" customFormat="1" ht="21.75" customHeight="1" thickTop="1" thickBot="1" x14ac:dyDescent="0.4">
      <c r="B24" s="38" t="s">
        <v>70</v>
      </c>
      <c r="C24" s="38" t="s">
        <v>27</v>
      </c>
      <c r="D24" s="80">
        <v>3</v>
      </c>
      <c r="E24" s="38" t="s">
        <v>25</v>
      </c>
      <c r="F24" s="247">
        <f>INDEX(Q1_Paeds,21,7)</f>
        <v>8</v>
      </c>
      <c r="G24" s="254">
        <f>INDEX(Q1_Paeds,21,8)</f>
        <v>4</v>
      </c>
      <c r="H24" s="233">
        <f>INDEX(Q1_Paeds,21,9)</f>
        <v>46</v>
      </c>
      <c r="I24" s="234">
        <f t="shared" si="0"/>
        <v>0.95833333333333337</v>
      </c>
      <c r="J24" s="235">
        <f>INDEX(Q1_Paeds,21,10)</f>
        <v>1</v>
      </c>
      <c r="K24" s="234">
        <f t="shared" si="1"/>
        <v>2.0833333333333332E-2</v>
      </c>
      <c r="L24" s="235">
        <f>INDEX(Q1_Paeds,21,11)</f>
        <v>1</v>
      </c>
      <c r="M24" s="234">
        <f t="shared" si="2"/>
        <v>2.0833333333333332E-2</v>
      </c>
      <c r="N24" s="235">
        <f>INDEX(Q1_Paeds,21,12)</f>
        <v>0</v>
      </c>
      <c r="O24" s="234">
        <f t="shared" si="3"/>
        <v>0</v>
      </c>
      <c r="P24" s="236">
        <f>INDEX(Q1_Paeds,21,13)</f>
        <v>48</v>
      </c>
      <c r="Q24" s="233">
        <f>INDEX(Q1_Paeds,21,15)</f>
        <v>37</v>
      </c>
      <c r="R24" s="234">
        <f t="shared" si="4"/>
        <v>0.37</v>
      </c>
      <c r="S24" s="235">
        <f>INDEX(Q1_Paeds,21,16)</f>
        <v>27</v>
      </c>
      <c r="T24" s="234">
        <f t="shared" si="5"/>
        <v>0.27</v>
      </c>
      <c r="U24" s="237">
        <f>INDEX(Q1_Paeds,21,17)</f>
        <v>36</v>
      </c>
      <c r="V24" s="234">
        <f t="shared" si="6"/>
        <v>0.36</v>
      </c>
      <c r="W24" s="235">
        <f>INDEX(Q1_Paeds,21,18)</f>
        <v>0</v>
      </c>
      <c r="X24" s="234">
        <f t="shared" si="7"/>
        <v>0</v>
      </c>
      <c r="Y24" s="236">
        <f>INDEX(Q1_Paeds,21,19)</f>
        <v>100</v>
      </c>
      <c r="Z24" s="248">
        <f>INDEX(Q1_Paeds,21,21)</f>
        <v>2.9000000000000001E-2</v>
      </c>
      <c r="AA24" s="249">
        <f>INDEX(Q1_Paeds,21,22)</f>
        <v>1.6E-2</v>
      </c>
    </row>
    <row r="25" spans="2:27" s="13" customFormat="1" ht="21.75" customHeight="1" thickTop="1" thickBot="1" x14ac:dyDescent="0.4">
      <c r="B25" s="35" t="s">
        <v>87</v>
      </c>
      <c r="C25" s="35" t="s">
        <v>27</v>
      </c>
      <c r="D25" s="77">
        <v>3</v>
      </c>
      <c r="E25" s="35" t="s">
        <v>25</v>
      </c>
      <c r="F25" s="250">
        <f>INDEX(Q1_Paeds,22,7)</f>
        <v>13</v>
      </c>
      <c r="G25" s="251">
        <f>INDEX(Q1_Paeds,22,8)</f>
        <v>9</v>
      </c>
      <c r="H25" s="242">
        <f>INDEX(Q1_Paeds,22,9)</f>
        <v>1</v>
      </c>
      <c r="I25" s="239">
        <f t="shared" si="0"/>
        <v>1</v>
      </c>
      <c r="J25" s="240">
        <f>INDEX(Q1_Paeds,22,10)</f>
        <v>0</v>
      </c>
      <c r="K25" s="239">
        <f t="shared" si="1"/>
        <v>0</v>
      </c>
      <c r="L25" s="240">
        <f>INDEX(Q1_Paeds,22,11)</f>
        <v>0</v>
      </c>
      <c r="M25" s="239">
        <f t="shared" si="2"/>
        <v>0</v>
      </c>
      <c r="N25" s="240">
        <f>INDEX(Q1_Paeds,22,12)</f>
        <v>0</v>
      </c>
      <c r="O25" s="239">
        <f t="shared" si="3"/>
        <v>0</v>
      </c>
      <c r="P25" s="241">
        <f>INDEX(Q1_Paeds,22,13)</f>
        <v>1</v>
      </c>
      <c r="Q25" s="242">
        <f>INDEX(Q1_Paeds,22,15)</f>
        <v>73</v>
      </c>
      <c r="R25" s="239">
        <f t="shared" si="4"/>
        <v>1</v>
      </c>
      <c r="S25" s="240">
        <f>INDEX(Q1_Paeds,22,16)</f>
        <v>0</v>
      </c>
      <c r="T25" s="239">
        <f t="shared" si="5"/>
        <v>0</v>
      </c>
      <c r="U25" s="246">
        <f>INDEX(Q1_Paeds,22,17)</f>
        <v>0</v>
      </c>
      <c r="V25" s="239">
        <f t="shared" si="6"/>
        <v>0</v>
      </c>
      <c r="W25" s="240">
        <f>INDEX(Q1_Paeds,22,18)</f>
        <v>0</v>
      </c>
      <c r="X25" s="239">
        <f t="shared" si="7"/>
        <v>0</v>
      </c>
      <c r="Y25" s="241">
        <f>INDEX(Q1_Paeds,22,19)</f>
        <v>73</v>
      </c>
      <c r="Z25" s="252">
        <f>INDEX(Q1_Paeds,22,21)</f>
        <v>6.3399999999999998E-2</v>
      </c>
      <c r="AA25" s="253">
        <f>INDEX(Q1_Paeds,22,22)</f>
        <v>5.74E-2</v>
      </c>
    </row>
    <row r="26" spans="2:27" ht="15" thickTop="1" x14ac:dyDescent="0.35">
      <c r="B26" s="21"/>
      <c r="C26" s="21"/>
      <c r="D26" s="21"/>
      <c r="E26" s="21"/>
      <c r="F26" s="20"/>
      <c r="G26" s="20"/>
      <c r="H26" s="144"/>
      <c r="I26" s="20"/>
      <c r="J26" s="144"/>
      <c r="K26" s="20"/>
      <c r="L26" s="144"/>
      <c r="M26" s="20"/>
      <c r="N26" s="144"/>
      <c r="O26" s="20"/>
      <c r="P26" s="20"/>
      <c r="Q26" s="144"/>
      <c r="R26" s="20"/>
      <c r="S26" s="144"/>
      <c r="T26" s="20"/>
      <c r="U26" s="144"/>
      <c r="V26" s="20"/>
      <c r="W26" s="144"/>
      <c r="X26" s="20"/>
      <c r="Y26" s="20"/>
      <c r="Z26" s="20"/>
      <c r="AA26" s="20"/>
    </row>
    <row r="27" spans="2:27" ht="15" thickBot="1" x14ac:dyDescent="0.4">
      <c r="B27" s="21"/>
      <c r="C27" s="21"/>
      <c r="D27" s="21"/>
      <c r="E27" s="21"/>
      <c r="F27" s="20"/>
      <c r="G27" s="20"/>
      <c r="H27" s="144"/>
      <c r="I27" s="20"/>
      <c r="J27" s="144"/>
      <c r="K27" s="20"/>
      <c r="L27" s="144"/>
      <c r="M27" s="20"/>
      <c r="N27" s="144"/>
      <c r="O27" s="20"/>
      <c r="P27" s="20"/>
      <c r="Q27" s="144"/>
      <c r="R27" s="20"/>
      <c r="S27" s="144"/>
      <c r="T27" s="20"/>
      <c r="U27" s="144"/>
      <c r="V27" s="20"/>
      <c r="W27" s="144"/>
      <c r="X27" s="20"/>
      <c r="Y27" s="20"/>
      <c r="Z27" s="20"/>
      <c r="AA27" s="20"/>
    </row>
    <row r="28" spans="2:27" ht="14.5" x14ac:dyDescent="0.35">
      <c r="B28" s="344" t="s">
        <v>112</v>
      </c>
      <c r="C28" s="345" t="s">
        <v>113</v>
      </c>
      <c r="D28" s="346"/>
      <c r="E28" s="347"/>
      <c r="F28" s="354" t="s">
        <v>104</v>
      </c>
      <c r="G28" s="355"/>
      <c r="H28" s="356"/>
      <c r="I28" s="357"/>
      <c r="J28" s="360" t="s">
        <v>110</v>
      </c>
      <c r="K28" s="361"/>
      <c r="L28" s="364" t="s">
        <v>110</v>
      </c>
      <c r="M28" s="365"/>
      <c r="N28" s="368" t="s">
        <v>110</v>
      </c>
      <c r="O28" s="369"/>
      <c r="P28" s="189"/>
      <c r="Q28" s="356"/>
      <c r="R28" s="357"/>
      <c r="S28" s="360" t="s">
        <v>110</v>
      </c>
      <c r="T28" s="361"/>
      <c r="U28" s="364" t="s">
        <v>110</v>
      </c>
      <c r="V28" s="365"/>
      <c r="W28" s="368" t="s">
        <v>110</v>
      </c>
      <c r="X28" s="369"/>
      <c r="Y28" s="153"/>
      <c r="Z28" s="380" t="s">
        <v>107</v>
      </c>
      <c r="AA28" s="355"/>
    </row>
    <row r="29" spans="2:27" ht="14.5" x14ac:dyDescent="0.35">
      <c r="B29" s="344"/>
      <c r="C29" s="348"/>
      <c r="D29" s="349"/>
      <c r="E29" s="350"/>
      <c r="F29" s="381" t="s">
        <v>105</v>
      </c>
      <c r="G29" s="382"/>
      <c r="H29" s="358"/>
      <c r="I29" s="359"/>
      <c r="J29" s="362"/>
      <c r="K29" s="363"/>
      <c r="L29" s="366"/>
      <c r="M29" s="367"/>
      <c r="N29" s="370"/>
      <c r="O29" s="371"/>
      <c r="P29" s="190"/>
      <c r="Q29" s="358"/>
      <c r="R29" s="359"/>
      <c r="S29" s="362"/>
      <c r="T29" s="363"/>
      <c r="U29" s="366"/>
      <c r="V29" s="367"/>
      <c r="W29" s="370"/>
      <c r="X29" s="371"/>
      <c r="Y29" s="154"/>
      <c r="Z29" s="383" t="s">
        <v>108</v>
      </c>
      <c r="AA29" s="382"/>
    </row>
    <row r="30" spans="2:27" ht="15" thickBot="1" x14ac:dyDescent="0.4">
      <c r="B30" s="344"/>
      <c r="C30" s="351"/>
      <c r="D30" s="352"/>
      <c r="E30" s="353"/>
      <c r="F30" s="376" t="s">
        <v>106</v>
      </c>
      <c r="G30" s="377"/>
      <c r="H30" s="378"/>
      <c r="I30" s="379"/>
      <c r="J30" s="384" t="s">
        <v>111</v>
      </c>
      <c r="K30" s="379"/>
      <c r="L30" s="384" t="s">
        <v>111</v>
      </c>
      <c r="M30" s="379"/>
      <c r="N30" s="384" t="s">
        <v>111</v>
      </c>
      <c r="O30" s="379"/>
      <c r="P30" s="187"/>
      <c r="Q30" s="378"/>
      <c r="R30" s="379"/>
      <c r="S30" s="384" t="s">
        <v>111</v>
      </c>
      <c r="T30" s="379"/>
      <c r="U30" s="384" t="s">
        <v>111</v>
      </c>
      <c r="V30" s="379"/>
      <c r="W30" s="384" t="s">
        <v>111</v>
      </c>
      <c r="X30" s="379"/>
      <c r="Y30" s="140"/>
      <c r="Z30" s="385" t="s">
        <v>109</v>
      </c>
      <c r="AA30" s="377"/>
    </row>
    <row r="31" spans="2:27" ht="14.5" x14ac:dyDescent="0.35">
      <c r="B31" s="22"/>
      <c r="C31" s="22"/>
      <c r="D31" s="22"/>
      <c r="E31" s="22"/>
      <c r="F31" s="23"/>
      <c r="G31" s="23"/>
      <c r="H31" s="145"/>
      <c r="I31" s="23"/>
      <c r="J31" s="145"/>
      <c r="K31" s="23"/>
      <c r="L31" s="145"/>
      <c r="M31" s="23"/>
      <c r="N31" s="145"/>
      <c r="O31" s="23"/>
      <c r="P31" s="23"/>
      <c r="Q31" s="145"/>
      <c r="R31" s="23"/>
      <c r="S31" s="145"/>
      <c r="T31" s="23"/>
      <c r="U31" s="145"/>
      <c r="V31" s="23"/>
      <c r="W31" s="145"/>
      <c r="X31" s="23"/>
      <c r="Y31" s="23"/>
      <c r="Z31" s="23"/>
      <c r="AA31" s="24"/>
    </row>
    <row r="32" spans="2:27" ht="14.5" x14ac:dyDescent="0.35">
      <c r="B32" s="20"/>
      <c r="C32" s="20"/>
      <c r="D32" s="20"/>
      <c r="E32" s="20"/>
      <c r="F32" s="25">
        <v>10</v>
      </c>
      <c r="G32" s="25">
        <v>10</v>
      </c>
      <c r="H32" s="146">
        <v>10</v>
      </c>
      <c r="I32" s="25"/>
      <c r="J32" s="146">
        <v>10</v>
      </c>
      <c r="K32" s="25">
        <v>10</v>
      </c>
      <c r="L32" s="146">
        <v>10</v>
      </c>
      <c r="M32" s="25"/>
      <c r="N32" s="146"/>
      <c r="O32" s="25"/>
      <c r="P32" s="25"/>
      <c r="Q32" s="146"/>
      <c r="R32" s="25"/>
      <c r="S32" s="146"/>
      <c r="T32" s="25"/>
      <c r="U32" s="146"/>
      <c r="V32" s="25"/>
      <c r="W32" s="146"/>
      <c r="X32" s="25"/>
      <c r="Y32" s="25"/>
      <c r="Z32" s="25"/>
      <c r="AA32" s="20"/>
    </row>
    <row r="33" spans="2:27" ht="14.5" x14ac:dyDescent="0.35">
      <c r="B33" s="21" t="s">
        <v>19</v>
      </c>
      <c r="C33" s="21"/>
      <c r="D33" s="21"/>
      <c r="E33" s="21"/>
      <c r="F33" s="26"/>
      <c r="G33" s="20"/>
      <c r="H33" s="144"/>
      <c r="I33" s="20"/>
      <c r="J33" s="144"/>
      <c r="K33" s="20"/>
      <c r="L33" s="144"/>
      <c r="M33" s="20"/>
      <c r="N33" s="144"/>
      <c r="O33" s="20"/>
      <c r="P33" s="20"/>
      <c r="Q33" s="144"/>
      <c r="R33" s="20"/>
      <c r="S33" s="144"/>
      <c r="T33" s="20"/>
      <c r="U33" s="144"/>
      <c r="V33" s="20"/>
      <c r="W33" s="144"/>
      <c r="X33" s="20"/>
      <c r="Y33" s="20"/>
      <c r="Z33" s="20"/>
      <c r="AA33" s="20"/>
    </row>
    <row r="34" spans="2:27" ht="14.5" x14ac:dyDescent="0.35">
      <c r="B34" s="27" t="s">
        <v>20</v>
      </c>
      <c r="C34" s="27"/>
      <c r="D34" s="27"/>
      <c r="E34" s="27"/>
      <c r="F34" s="20"/>
      <c r="G34" s="20"/>
      <c r="H34" s="144"/>
      <c r="I34" s="20"/>
      <c r="J34" s="144"/>
      <c r="K34" s="20"/>
      <c r="L34" s="144"/>
      <c r="M34" s="20"/>
      <c r="N34" s="144"/>
      <c r="O34" s="20"/>
      <c r="P34" s="20"/>
      <c r="Q34" s="144"/>
      <c r="R34" s="20"/>
      <c r="S34" s="144"/>
      <c r="T34" s="20"/>
      <c r="U34" s="144"/>
      <c r="V34" s="20"/>
      <c r="W34" s="144"/>
      <c r="X34" s="20"/>
      <c r="Y34" s="20"/>
      <c r="Z34" s="20"/>
      <c r="AA34" s="20"/>
    </row>
    <row r="35" spans="2:27" ht="14.5" x14ac:dyDescent="0.35">
      <c r="B35" s="28"/>
      <c r="C35" s="28"/>
      <c r="D35" s="28"/>
      <c r="E35" s="28"/>
      <c r="F35" s="20"/>
      <c r="G35" s="20"/>
      <c r="H35" s="144"/>
      <c r="I35" s="20"/>
      <c r="J35" s="144"/>
      <c r="K35" s="20"/>
      <c r="L35" s="144"/>
      <c r="M35" s="20"/>
      <c r="N35" s="144"/>
      <c r="O35" s="20"/>
      <c r="P35" s="20"/>
      <c r="Q35" s="144"/>
      <c r="R35" s="20"/>
      <c r="S35" s="144"/>
      <c r="T35" s="20"/>
      <c r="U35" s="144"/>
      <c r="V35" s="20"/>
      <c r="W35" s="144"/>
      <c r="X35" s="20"/>
      <c r="Y35" s="20"/>
      <c r="Z35" s="20"/>
      <c r="AA35" s="20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</sheetData>
  <sheetProtection algorithmName="SHA-512" hashValue="927s1jqLuM1e1rJy1g6bQDIzfXFSPT0HaJlbuoFSbz1Xc9IdzxrrdBpWwHse86IVWmdsO+643eG+RfDvnYUNww==" saltValue="NUQHfEDMSBxiUJ1VUnz8rg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91" priority="11" operator="containsText" text="N/A">
      <formula>NOT(ISERROR(SEARCH("N/A",F8)))</formula>
    </cfRule>
    <cfRule type="cellIs" dxfId="190" priority="18" operator="between">
      <formula>0.01</formula>
      <formula>13</formula>
    </cfRule>
    <cfRule type="cellIs" dxfId="189" priority="19" operator="between">
      <formula>13</formula>
      <formula>18</formula>
    </cfRule>
    <cfRule type="cellIs" dxfId="188" priority="20" operator="greaterThan">
      <formula>18</formula>
    </cfRule>
    <cfRule type="cellIs" dxfId="187" priority="21" operator="greaterThan">
      <formula>18</formula>
    </cfRule>
  </conditionalFormatting>
  <conditionalFormatting sqref="K8:K25 T8:T25">
    <cfRule type="cellIs" dxfId="186" priority="17" operator="greaterThan">
      <formula>0.49</formula>
    </cfRule>
  </conditionalFormatting>
  <conditionalFormatting sqref="V8:V25 M8:M25">
    <cfRule type="cellIs" dxfId="185" priority="16" operator="greaterThan">
      <formula>0.49</formula>
    </cfRule>
  </conditionalFormatting>
  <conditionalFormatting sqref="O8:O25 X8:X25">
    <cfRule type="cellIs" dxfId="184" priority="15" operator="greaterThan">
      <formula>0.49</formula>
    </cfRule>
  </conditionalFormatting>
  <conditionalFormatting sqref="Z8:AA25">
    <cfRule type="cellIs" dxfId="183" priority="12" operator="between">
      <formula>0.0001</formula>
      <formula>0.1</formula>
    </cfRule>
    <cfRule type="cellIs" dxfId="182" priority="13" operator="between">
      <formula>0.1</formula>
      <formula>0.19</formula>
    </cfRule>
    <cfRule type="cellIs" dxfId="181" priority="14" operator="greaterThan">
      <formula>0.2</formula>
    </cfRule>
  </conditionalFormatting>
  <conditionalFormatting sqref="J8:J25">
    <cfRule type="expression" dxfId="180" priority="10">
      <formula>($J8/$P8*100)&gt;49.49</formula>
    </cfRule>
  </conditionalFormatting>
  <conditionalFormatting sqref="L8:L25">
    <cfRule type="expression" dxfId="179" priority="9">
      <formula>($L8/$P8*100)&gt;49.49</formula>
    </cfRule>
  </conditionalFormatting>
  <conditionalFormatting sqref="N8:N25">
    <cfRule type="expression" dxfId="178" priority="8">
      <formula>($N8/$P8*100)&gt;49.49</formula>
    </cfRule>
  </conditionalFormatting>
  <conditionalFormatting sqref="S8:S25">
    <cfRule type="expression" dxfId="177" priority="7">
      <formula>($S8/$Y8*100)&gt;49.49</formula>
    </cfRule>
  </conditionalFormatting>
  <conditionalFormatting sqref="U8:U25">
    <cfRule type="expression" dxfId="176" priority="6">
      <formula>($U8/$Y8*100)&gt;49.49</formula>
    </cfRule>
  </conditionalFormatting>
  <conditionalFormatting sqref="W8:W25">
    <cfRule type="expression" dxfId="175" priority="5">
      <formula>($W8/$Y8*100)&gt;49.49</formula>
    </cfRule>
  </conditionalFormatting>
  <conditionalFormatting sqref="L9">
    <cfRule type="expression" dxfId="174" priority="4">
      <formula>"$M$9=&gt;.499"</formula>
    </cfRule>
  </conditionalFormatting>
  <conditionalFormatting sqref="F8:AA25">
    <cfRule type="expression" dxfId="173" priority="1">
      <formula>$F8="No data"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5" customHeight="1" zeroHeight="1" x14ac:dyDescent="0.35"/>
  <cols>
    <col min="1" max="29" width="9.1796875" style="39" customWidth="1"/>
    <col min="30" max="16384" width="9.1796875" style="39" hidden="1"/>
  </cols>
  <sheetData>
    <row r="1" spans="1:29" s="15" customFormat="1" ht="35.25" customHeight="1" x14ac:dyDescent="0.35">
      <c r="A1" s="386" t="s">
        <v>122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502" t="s">
        <v>121</v>
      </c>
      <c r="Z1" s="502"/>
      <c r="AA1" s="502"/>
    </row>
    <row r="2" spans="1:29" s="96" customFormat="1" ht="30" customHeight="1" x14ac:dyDescent="0.35">
      <c r="A2" s="388" t="s">
        <v>189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</row>
    <row r="3" spans="1:29" s="97" customFormat="1" ht="25.5" customHeight="1" x14ac:dyDescent="0.35">
      <c r="B3" s="98" t="s">
        <v>132</v>
      </c>
    </row>
    <row r="4" spans="1:29" s="17" customFormat="1" x14ac:dyDescent="0.35"/>
    <row r="5" spans="1:29" s="17" customFormat="1" x14ac:dyDescent="0.35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</row>
    <row r="6" spans="1:29" s="17" customFormat="1" x14ac:dyDescent="0.35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</row>
    <row r="7" spans="1:29" s="17" customFormat="1" x14ac:dyDescent="0.35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9" s="17" customFormat="1" x14ac:dyDescent="0.3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</row>
    <row r="9" spans="1:29" s="17" customFormat="1" x14ac:dyDescent="0.35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</row>
    <row r="10" spans="1:29" s="17" customFormat="1" x14ac:dyDescent="0.35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9" s="17" customFormat="1" x14ac:dyDescent="0.35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</row>
    <row r="12" spans="1:29" s="17" customFormat="1" x14ac:dyDescent="0.35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</row>
    <row r="13" spans="1:29" s="17" customFormat="1" x14ac:dyDescent="0.3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9" s="17" customFormat="1" x14ac:dyDescent="0.35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</row>
    <row r="15" spans="1:29" s="17" customFormat="1" x14ac:dyDescent="0.35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29" s="17" customFormat="1" x14ac:dyDescent="0.3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</row>
    <row r="17" spans="2:28" s="17" customFormat="1" x14ac:dyDescent="0.35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</row>
    <row r="18" spans="2:28" s="17" customFormat="1" x14ac:dyDescent="0.35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</row>
    <row r="19" spans="2:28" s="17" customFormat="1" x14ac:dyDescent="0.35"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</row>
    <row r="20" spans="2:28" s="17" customFormat="1" x14ac:dyDescent="0.35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</row>
    <row r="21" spans="2:28" s="17" customFormat="1" x14ac:dyDescent="0.35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</row>
    <row r="22" spans="2:28" s="17" customFormat="1" x14ac:dyDescent="0.35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</row>
    <row r="23" spans="2:28" s="17" customFormat="1" x14ac:dyDescent="0.35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</row>
    <row r="24" spans="2:28" s="17" customFormat="1" x14ac:dyDescent="0.35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</row>
    <row r="25" spans="2:28" s="17" customFormat="1" x14ac:dyDescent="0.35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</row>
    <row r="26" spans="2:28" s="17" customFormat="1" x14ac:dyDescent="0.35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</row>
    <row r="27" spans="2:28" s="17" customFormat="1" x14ac:dyDescent="0.35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</row>
    <row r="28" spans="2:28" s="17" customFormat="1" x14ac:dyDescent="0.35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</row>
    <row r="29" spans="2:28" s="17" customFormat="1" x14ac:dyDescent="0.35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</row>
    <row r="30" spans="2:28" s="17" customFormat="1" x14ac:dyDescent="0.3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</row>
    <row r="31" spans="2:28" s="17" customFormat="1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</row>
    <row r="32" spans="2:28" s="17" customFormat="1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</row>
    <row r="33" spans="1:28" s="17" customFormat="1" x14ac:dyDescent="0.35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</row>
    <row r="34" spans="1:28" s="17" customFormat="1" x14ac:dyDescent="0.35"/>
    <row r="35" spans="1:28" s="17" customFormat="1" x14ac:dyDescent="0.35"/>
    <row r="36" spans="1:28" s="97" customFormat="1" ht="25.5" customHeight="1" x14ac:dyDescent="0.35">
      <c r="B36" s="98" t="s">
        <v>123</v>
      </c>
    </row>
    <row r="37" spans="1:28" s="17" customFormat="1" x14ac:dyDescent="0.35"/>
    <row r="38" spans="1:28" s="95" customFormat="1" x14ac:dyDescent="0.35">
      <c r="A38" s="17"/>
    </row>
    <row r="39" spans="1:28" s="95" customFormat="1" x14ac:dyDescent="0.35">
      <c r="A39" s="17"/>
    </row>
    <row r="40" spans="1:28" s="95" customFormat="1" x14ac:dyDescent="0.35">
      <c r="A40" s="17"/>
    </row>
    <row r="41" spans="1:28" s="95" customFormat="1" x14ac:dyDescent="0.35">
      <c r="A41" s="17"/>
    </row>
    <row r="42" spans="1:28" s="95" customFormat="1" x14ac:dyDescent="0.35">
      <c r="A42" s="17"/>
    </row>
    <row r="43" spans="1:28" s="95" customFormat="1" x14ac:dyDescent="0.35">
      <c r="A43" s="17"/>
    </row>
    <row r="44" spans="1:28" s="95" customFormat="1" x14ac:dyDescent="0.35">
      <c r="A44" s="17"/>
    </row>
    <row r="45" spans="1:28" s="95" customFormat="1" x14ac:dyDescent="0.35">
      <c r="A45" s="17"/>
    </row>
    <row r="46" spans="1:28" s="95" customFormat="1" x14ac:dyDescent="0.35">
      <c r="A46" s="17"/>
    </row>
    <row r="47" spans="1:28" s="95" customFormat="1" x14ac:dyDescent="0.35">
      <c r="A47" s="17"/>
    </row>
    <row r="48" spans="1:28" s="95" customFormat="1" x14ac:dyDescent="0.35">
      <c r="A48" s="17"/>
    </row>
    <row r="49" spans="1:1" s="95" customFormat="1" x14ac:dyDescent="0.35">
      <c r="A49" s="17"/>
    </row>
    <row r="50" spans="1:1" s="95" customFormat="1" x14ac:dyDescent="0.35">
      <c r="A50" s="17"/>
    </row>
    <row r="51" spans="1:1" s="95" customFormat="1" x14ac:dyDescent="0.35">
      <c r="A51" s="17"/>
    </row>
    <row r="52" spans="1:1" s="95" customFormat="1" x14ac:dyDescent="0.35">
      <c r="A52" s="17"/>
    </row>
    <row r="53" spans="1:1" s="95" customFormat="1" x14ac:dyDescent="0.35">
      <c r="A53" s="17"/>
    </row>
    <row r="54" spans="1:1" s="95" customFormat="1" x14ac:dyDescent="0.35">
      <c r="A54" s="17"/>
    </row>
    <row r="55" spans="1:1" s="95" customFormat="1" x14ac:dyDescent="0.35">
      <c r="A55" s="17"/>
    </row>
    <row r="56" spans="1:1" s="95" customFormat="1" x14ac:dyDescent="0.35">
      <c r="A56" s="17"/>
    </row>
    <row r="57" spans="1:1" s="95" customFormat="1" x14ac:dyDescent="0.35">
      <c r="A57" s="17"/>
    </row>
    <row r="58" spans="1:1" s="95" customFormat="1" x14ac:dyDescent="0.35">
      <c r="A58" s="17"/>
    </row>
    <row r="59" spans="1:1" s="95" customFormat="1" x14ac:dyDescent="0.35">
      <c r="A59" s="17"/>
    </row>
    <row r="60" spans="1:1" s="95" customFormat="1" x14ac:dyDescent="0.35">
      <c r="A60" s="17"/>
    </row>
    <row r="61" spans="1:1" s="95" customFormat="1" x14ac:dyDescent="0.35">
      <c r="A61" s="17"/>
    </row>
    <row r="62" spans="1:1" s="95" customFormat="1" x14ac:dyDescent="0.35">
      <c r="A62" s="17"/>
    </row>
    <row r="63" spans="1:1" s="95" customFormat="1" x14ac:dyDescent="0.35">
      <c r="A63" s="17"/>
    </row>
    <row r="64" spans="1:1" s="95" customFormat="1" x14ac:dyDescent="0.35">
      <c r="A64" s="17"/>
    </row>
    <row r="65" spans="1:1" s="95" customFormat="1" x14ac:dyDescent="0.35">
      <c r="A65" s="17"/>
    </row>
    <row r="66" spans="1:1" s="95" customFormat="1" x14ac:dyDescent="0.35">
      <c r="A66" s="17"/>
    </row>
    <row r="67" spans="1:1" s="95" customFormat="1" x14ac:dyDescent="0.35">
      <c r="A67" s="17"/>
    </row>
    <row r="68" spans="1:1" s="95" customFormat="1" x14ac:dyDescent="0.35">
      <c r="A68" s="17"/>
    </row>
    <row r="69" spans="1:1" s="95" customFormat="1" x14ac:dyDescent="0.35">
      <c r="A69" s="17"/>
    </row>
    <row r="70" spans="1:1" s="95" customFormat="1" x14ac:dyDescent="0.35">
      <c r="A70" s="17"/>
    </row>
    <row r="71" spans="1:1" s="95" customFormat="1" x14ac:dyDescent="0.35">
      <c r="A71" s="17"/>
    </row>
    <row r="72" spans="1:1" s="95" customFormat="1" x14ac:dyDescent="0.35">
      <c r="A72" s="17"/>
    </row>
    <row r="73" spans="1:1" s="95" customFormat="1" x14ac:dyDescent="0.35">
      <c r="A73" s="17"/>
    </row>
    <row r="74" spans="1:1" s="95" customFormat="1" x14ac:dyDescent="0.35">
      <c r="A74" s="17"/>
    </row>
    <row r="75" spans="1:1" s="95" customFormat="1" x14ac:dyDescent="0.35">
      <c r="A75" s="17"/>
    </row>
    <row r="76" spans="1:1" s="95" customFormat="1" x14ac:dyDescent="0.35">
      <c r="A76" s="17"/>
    </row>
    <row r="77" spans="1:1" s="95" customFormat="1" x14ac:dyDescent="0.35">
      <c r="A77" s="17"/>
    </row>
    <row r="78" spans="1:1" s="95" customFormat="1" x14ac:dyDescent="0.35">
      <c r="A78" s="17"/>
    </row>
    <row r="79" spans="1:1" s="95" customFormat="1" x14ac:dyDescent="0.35">
      <c r="A79" s="17"/>
    </row>
    <row r="80" spans="1:1" s="95" customFormat="1" x14ac:dyDescent="0.35">
      <c r="A80" s="17"/>
    </row>
    <row r="81" spans="1:29" s="95" customFormat="1" x14ac:dyDescent="0.35">
      <c r="A81" s="17"/>
    </row>
    <row r="82" spans="1:29" s="95" customFormat="1" x14ac:dyDescent="0.35">
      <c r="A82" s="17"/>
    </row>
    <row r="83" spans="1:29" s="95" customFormat="1" x14ac:dyDescent="0.35">
      <c r="A83" s="17"/>
    </row>
    <row r="84" spans="1:29" s="95" customFormat="1" x14ac:dyDescent="0.35">
      <c r="A84" s="17"/>
    </row>
    <row r="85" spans="1:29" s="95" customFormat="1" x14ac:dyDescent="0.35">
      <c r="A85" s="17"/>
    </row>
    <row r="86" spans="1:29" s="95" customFormat="1" x14ac:dyDescent="0.35">
      <c r="A86" s="17"/>
    </row>
    <row r="87" spans="1:29" s="95" customFormat="1" x14ac:dyDescent="0.35">
      <c r="A87" s="17"/>
    </row>
    <row r="88" spans="1:29" s="95" customFormat="1" x14ac:dyDescent="0.35">
      <c r="A88" s="17"/>
    </row>
    <row r="89" spans="1:29" s="17" customFormat="1" x14ac:dyDescent="0.35"/>
    <row r="90" spans="1:29" s="17" customFormat="1" x14ac:dyDescent="0.35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</row>
    <row r="91" spans="1:29" s="17" customFormat="1" x14ac:dyDescent="0.35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</row>
    <row r="92" spans="1:29" s="17" customFormat="1" x14ac:dyDescent="0.35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</row>
    <row r="93" spans="1:29" s="17" customFormat="1" x14ac:dyDescent="0.35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</row>
    <row r="94" spans="1:29" s="17" customFormat="1" x14ac:dyDescent="0.35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</row>
    <row r="95" spans="1:29" s="17" customFormat="1" x14ac:dyDescent="0.35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</row>
    <row r="96" spans="1:29" s="17" customFormat="1" x14ac:dyDescent="0.35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</row>
    <row r="97" spans="2:29" s="17" customFormat="1" x14ac:dyDescent="0.35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</row>
    <row r="98" spans="2:29" s="17" customFormat="1" x14ac:dyDescent="0.35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</row>
    <row r="99" spans="2:29" s="17" customFormat="1" x14ac:dyDescent="0.35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</row>
    <row r="100" spans="2:29" s="17" customFormat="1" x14ac:dyDescent="0.35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</row>
    <row r="101" spans="2:29" s="17" customFormat="1" x14ac:dyDescent="0.35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</row>
    <row r="102" spans="2:29" s="17" customFormat="1" x14ac:dyDescent="0.35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</row>
    <row r="103" spans="2:29" s="17" customFormat="1" x14ac:dyDescent="0.35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</row>
    <row r="104" spans="2:29" s="17" customFormat="1" x14ac:dyDescent="0.35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</row>
    <row r="105" spans="2:29" s="17" customFormat="1" x14ac:dyDescent="0.35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</row>
    <row r="106" spans="2:29" s="17" customFormat="1" x14ac:dyDescent="0.35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</row>
    <row r="107" spans="2:29" s="17" customFormat="1" x14ac:dyDescent="0.35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</row>
    <row r="108" spans="2:29" s="17" customFormat="1" x14ac:dyDescent="0.35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</row>
    <row r="109" spans="2:29" s="17" customFormat="1" x14ac:dyDescent="0.35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</row>
    <row r="110" spans="2:29" s="17" customFormat="1" x14ac:dyDescent="0.35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</row>
    <row r="111" spans="2:29" s="17" customFormat="1" x14ac:dyDescent="0.35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</row>
    <row r="112" spans="2:29" s="17" customFormat="1" x14ac:dyDescent="0.35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</row>
    <row r="113" spans="2:29" s="17" customFormat="1" x14ac:dyDescent="0.35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</row>
    <row r="114" spans="2:29" s="17" customFormat="1" x14ac:dyDescent="0.35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</row>
    <row r="115" spans="2:29" s="17" customFormat="1" x14ac:dyDescent="0.35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</row>
    <row r="116" spans="2:29" s="17" customFormat="1" x14ac:dyDescent="0.35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</row>
    <row r="117" spans="2:29" s="17" customFormat="1" x14ac:dyDescent="0.35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</row>
    <row r="118" spans="2:29" s="17" customFormat="1" x14ac:dyDescent="0.35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</row>
    <row r="119" spans="2:29" s="17" customFormat="1" x14ac:dyDescent="0.35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</row>
    <row r="120" spans="2:29" s="17" customFormat="1" x14ac:dyDescent="0.35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</row>
    <row r="121" spans="2:29" s="17" customFormat="1" x14ac:dyDescent="0.35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</row>
    <row r="122" spans="2:29" s="17" customFormat="1" x14ac:dyDescent="0.35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</row>
    <row r="123" spans="2:29" s="17" customFormat="1" x14ac:dyDescent="0.35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</row>
    <row r="124" spans="2:29" s="17" customFormat="1" x14ac:dyDescent="0.35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</row>
    <row r="125" spans="2:29" s="17" customFormat="1" x14ac:dyDescent="0.35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</row>
    <row r="126" spans="2:29" s="17" customFormat="1" x14ac:dyDescent="0.35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</row>
    <row r="127" spans="2:29" s="17" customFormat="1" x14ac:dyDescent="0.35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</row>
    <row r="128" spans="2:29" s="17" customFormat="1" x14ac:dyDescent="0.35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</row>
    <row r="129" spans="2:29" s="17" customFormat="1" x14ac:dyDescent="0.35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</row>
    <row r="130" spans="2:29" s="17" customFormat="1" x14ac:dyDescent="0.35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</row>
    <row r="131" spans="2:29" s="17" customFormat="1" x14ac:dyDescent="0.35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</row>
    <row r="132" spans="2:29" s="17" customFormat="1" x14ac:dyDescent="0.35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</row>
    <row r="133" spans="2:29" s="17" customFormat="1" x14ac:dyDescent="0.35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</row>
    <row r="134" spans="2:29" s="17" customFormat="1" x14ac:dyDescent="0.35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</row>
    <row r="135" spans="2:29" s="17" customFormat="1" x14ac:dyDescent="0.35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</row>
    <row r="136" spans="2:29" s="17" customFormat="1" x14ac:dyDescent="0.35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</row>
    <row r="137" spans="2:29" s="17" customFormat="1" x14ac:dyDescent="0.35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</row>
    <row r="138" spans="2:29" s="17" customFormat="1" x14ac:dyDescent="0.35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</row>
    <row r="139" spans="2:29" s="17" customFormat="1" x14ac:dyDescent="0.35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</row>
    <row r="140" spans="2:29" s="17" customFormat="1" x14ac:dyDescent="0.35"/>
    <row r="141" spans="2:29" s="17" customFormat="1" x14ac:dyDescent="0.35"/>
    <row r="142" spans="2:29" s="97" customFormat="1" ht="25.5" customHeight="1" x14ac:dyDescent="0.35">
      <c r="B142" s="98" t="s">
        <v>4</v>
      </c>
    </row>
    <row r="143" spans="2:29" s="17" customFormat="1" x14ac:dyDescent="0.35"/>
    <row r="144" spans="2:29" s="17" customFormat="1" x14ac:dyDescent="0.35"/>
    <row r="145" spans="2:28" s="17" customFormat="1" x14ac:dyDescent="0.35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</row>
    <row r="146" spans="2:28" s="17" customFormat="1" x14ac:dyDescent="0.35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</row>
    <row r="147" spans="2:28" s="17" customFormat="1" x14ac:dyDescent="0.35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</row>
    <row r="148" spans="2:28" s="17" customFormat="1" x14ac:dyDescent="0.35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</row>
    <row r="149" spans="2:28" s="17" customFormat="1" x14ac:dyDescent="0.35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</row>
    <row r="150" spans="2:28" s="17" customFormat="1" x14ac:dyDescent="0.35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</row>
    <row r="151" spans="2:28" s="17" customFormat="1" x14ac:dyDescent="0.35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</row>
    <row r="152" spans="2:28" s="17" customFormat="1" x14ac:dyDescent="0.35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</row>
    <row r="153" spans="2:28" s="17" customFormat="1" x14ac:dyDescent="0.35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</row>
    <row r="154" spans="2:28" s="17" customFormat="1" x14ac:dyDescent="0.35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</row>
    <row r="155" spans="2:28" s="17" customFormat="1" x14ac:dyDescent="0.35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</row>
    <row r="156" spans="2:28" s="17" customFormat="1" x14ac:dyDescent="0.35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</row>
    <row r="157" spans="2:28" s="17" customFormat="1" x14ac:dyDescent="0.35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</row>
    <row r="158" spans="2:28" s="17" customFormat="1" x14ac:dyDescent="0.35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</row>
    <row r="159" spans="2:28" s="17" customFormat="1" x14ac:dyDescent="0.35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</row>
    <row r="160" spans="2:28" s="17" customFormat="1" x14ac:dyDescent="0.35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</row>
    <row r="161" spans="2:28" s="17" customFormat="1" x14ac:dyDescent="0.35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</row>
    <row r="162" spans="2:28" s="17" customFormat="1" x14ac:dyDescent="0.35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</row>
    <row r="163" spans="2:28" s="17" customFormat="1" x14ac:dyDescent="0.35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</row>
    <row r="164" spans="2:28" s="17" customFormat="1" x14ac:dyDescent="0.35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</row>
    <row r="165" spans="2:28" s="17" customFormat="1" x14ac:dyDescent="0.35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</row>
    <row r="166" spans="2:28" s="17" customFormat="1" x14ac:dyDescent="0.35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</row>
    <row r="167" spans="2:28" s="17" customFormat="1" x14ac:dyDescent="0.35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</row>
    <row r="168" spans="2:28" s="17" customFormat="1" x14ac:dyDescent="0.35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</row>
    <row r="169" spans="2:28" s="17" customFormat="1" x14ac:dyDescent="0.35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</row>
    <row r="170" spans="2:28" s="17" customFormat="1" x14ac:dyDescent="0.35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</row>
    <row r="171" spans="2:28" s="17" customFormat="1" x14ac:dyDescent="0.35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</row>
    <row r="172" spans="2:28" s="17" customFormat="1" x14ac:dyDescent="0.35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</row>
    <row r="173" spans="2:28" s="17" customFormat="1" x14ac:dyDescent="0.35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</row>
    <row r="174" spans="2:28" s="17" customFormat="1" x14ac:dyDescent="0.35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</row>
    <row r="175" spans="2:28" s="17" customFormat="1" x14ac:dyDescent="0.35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</row>
    <row r="176" spans="2:28" s="17" customFormat="1" x14ac:dyDescent="0.35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</row>
    <row r="177" spans="2:28" s="17" customFormat="1" x14ac:dyDescent="0.35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</row>
    <row r="178" spans="2:28" s="17" customFormat="1" x14ac:dyDescent="0.35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</row>
    <row r="179" spans="2:28" s="17" customFormat="1" x14ac:dyDescent="0.35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</row>
    <row r="180" spans="2:28" s="17" customFormat="1" x14ac:dyDescent="0.35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</row>
    <row r="181" spans="2:28" s="17" customFormat="1" x14ac:dyDescent="0.35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</row>
    <row r="182" spans="2:28" s="17" customFormat="1" x14ac:dyDescent="0.35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</row>
    <row r="183" spans="2:28" s="17" customFormat="1" x14ac:dyDescent="0.35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</row>
    <row r="184" spans="2:28" s="17" customFormat="1" x14ac:dyDescent="0.35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</row>
    <row r="185" spans="2:28" s="17" customFormat="1" x14ac:dyDescent="0.35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</row>
    <row r="186" spans="2:28" s="17" customFormat="1" x14ac:dyDescent="0.35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</row>
    <row r="187" spans="2:28" s="17" customFormat="1" x14ac:dyDescent="0.35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</row>
    <row r="188" spans="2:28" s="17" customFormat="1" x14ac:dyDescent="0.35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</row>
    <row r="189" spans="2:28" s="17" customFormat="1" x14ac:dyDescent="0.35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</row>
    <row r="190" spans="2:28" s="17" customFormat="1" x14ac:dyDescent="0.35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</row>
    <row r="191" spans="2:28" s="17" customFormat="1" x14ac:dyDescent="0.35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</row>
    <row r="192" spans="2:28" s="17" customFormat="1" x14ac:dyDescent="0.35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</row>
    <row r="193" spans="2:28" s="17" customFormat="1" x14ac:dyDescent="0.35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</row>
    <row r="194" spans="2:28" s="17" customFormat="1" x14ac:dyDescent="0.35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</row>
    <row r="195" spans="2:28" s="17" customFormat="1" x14ac:dyDescent="0.35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</row>
    <row r="196" spans="2:28" s="17" customFormat="1" ht="20.25" customHeight="1" x14ac:dyDescent="0.35"/>
    <row r="197" spans="2:28" s="17" customFormat="1" x14ac:dyDescent="0.35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</row>
    <row r="198" spans="2:28" s="17" customFormat="1" x14ac:dyDescent="0.35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</row>
    <row r="199" spans="2:28" s="17" customFormat="1" x14ac:dyDescent="0.35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</row>
    <row r="200" spans="2:28" s="17" customFormat="1" x14ac:dyDescent="0.35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</row>
    <row r="201" spans="2:28" s="17" customFormat="1" x14ac:dyDescent="0.35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</row>
    <row r="202" spans="2:28" s="17" customFormat="1" x14ac:dyDescent="0.35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</row>
    <row r="203" spans="2:28" s="17" customFormat="1" x14ac:dyDescent="0.35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</row>
    <row r="204" spans="2:28" s="17" customFormat="1" x14ac:dyDescent="0.35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</row>
    <row r="205" spans="2:28" s="17" customFormat="1" x14ac:dyDescent="0.35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</row>
    <row r="206" spans="2:28" s="17" customFormat="1" x14ac:dyDescent="0.35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</row>
    <row r="207" spans="2:28" s="17" customFormat="1" x14ac:dyDescent="0.35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</row>
    <row r="208" spans="2:28" s="17" customFormat="1" x14ac:dyDescent="0.35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</row>
    <row r="209" spans="2:28" s="17" customFormat="1" x14ac:dyDescent="0.35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</row>
    <row r="210" spans="2:28" s="17" customFormat="1" x14ac:dyDescent="0.35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</row>
    <row r="211" spans="2:28" s="17" customFormat="1" x14ac:dyDescent="0.35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</row>
    <row r="212" spans="2:28" s="17" customFormat="1" x14ac:dyDescent="0.35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</row>
    <row r="213" spans="2:28" s="17" customFormat="1" x14ac:dyDescent="0.35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</row>
    <row r="214" spans="2:28" s="17" customFormat="1" x14ac:dyDescent="0.35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</row>
    <row r="215" spans="2:28" s="17" customFormat="1" x14ac:dyDescent="0.35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</row>
    <row r="216" spans="2:28" s="17" customFormat="1" x14ac:dyDescent="0.35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</row>
    <row r="217" spans="2:28" s="17" customFormat="1" x14ac:dyDescent="0.35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</row>
    <row r="218" spans="2:28" s="17" customFormat="1" x14ac:dyDescent="0.35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</row>
    <row r="219" spans="2:28" s="17" customFormat="1" x14ac:dyDescent="0.35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</row>
    <row r="220" spans="2:28" s="17" customFormat="1" x14ac:dyDescent="0.35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</row>
    <row r="221" spans="2:28" s="17" customFormat="1" x14ac:dyDescent="0.35"/>
    <row r="222" spans="2:28" s="17" customFormat="1" x14ac:dyDescent="0.35"/>
    <row r="223" spans="2:28" s="17" customFormat="1" x14ac:dyDescent="0.35"/>
    <row r="224" spans="2:28" s="17" customFormat="1" hidden="1" x14ac:dyDescent="0.35"/>
    <row r="225" s="17" customFormat="1" hidden="1" x14ac:dyDescent="0.35"/>
    <row r="226" s="17" customFormat="1" hidden="1" x14ac:dyDescent="0.35"/>
    <row r="227" s="17" customFormat="1" hidden="1" x14ac:dyDescent="0.35"/>
    <row r="228" s="17" customFormat="1" hidden="1" x14ac:dyDescent="0.35"/>
    <row r="229" s="17" customFormat="1" hidden="1" x14ac:dyDescent="0.35"/>
    <row r="230" s="17" customFormat="1" hidden="1" x14ac:dyDescent="0.35"/>
    <row r="231" s="17" customFormat="1" hidden="1" x14ac:dyDescent="0.35"/>
    <row r="232" s="17" customFormat="1" hidden="1" x14ac:dyDescent="0.35"/>
    <row r="233" s="17" customFormat="1" hidden="1" x14ac:dyDescent="0.35"/>
    <row r="234" s="17" customFormat="1" hidden="1" x14ac:dyDescent="0.35"/>
    <row r="235" s="17" customFormat="1" hidden="1" x14ac:dyDescent="0.35"/>
    <row r="236" s="17" customFormat="1" hidden="1" x14ac:dyDescent="0.35"/>
    <row r="237" s="17" customFormat="1" hidden="1" x14ac:dyDescent="0.35"/>
    <row r="238" s="17" customFormat="1" hidden="1" x14ac:dyDescent="0.35"/>
    <row r="239" s="17" customFormat="1" hidden="1" x14ac:dyDescent="0.35"/>
    <row r="240" s="17" customFormat="1" hidden="1" x14ac:dyDescent="0.35"/>
    <row r="241" s="17" customFormat="1" hidden="1" x14ac:dyDescent="0.35"/>
    <row r="242" s="17" customFormat="1" hidden="1" x14ac:dyDescent="0.35"/>
    <row r="243" s="17" customFormat="1" hidden="1" x14ac:dyDescent="0.35"/>
    <row r="244" s="17" customFormat="1" hidden="1" x14ac:dyDescent="0.35"/>
    <row r="245" s="17" customFormat="1" hidden="1" x14ac:dyDescent="0.35"/>
    <row r="246" s="17" customFormat="1" hidden="1" x14ac:dyDescent="0.35"/>
    <row r="247" s="17" customFormat="1" hidden="1" x14ac:dyDescent="0.35"/>
    <row r="248" s="17" customFormat="1" hidden="1" x14ac:dyDescent="0.35"/>
    <row r="249" s="17" customFormat="1" hidden="1" x14ac:dyDescent="0.35"/>
    <row r="250" s="17" customFormat="1" hidden="1" x14ac:dyDescent="0.35"/>
    <row r="251" s="17" customFormat="1" hidden="1" x14ac:dyDescent="0.35"/>
    <row r="252" s="17" customFormat="1" hidden="1" x14ac:dyDescent="0.35"/>
    <row r="253" s="17" customFormat="1" hidden="1" x14ac:dyDescent="0.35"/>
    <row r="254" s="17" customFormat="1" hidden="1" x14ac:dyDescent="0.35"/>
    <row r="255" s="17" customFormat="1" hidden="1" x14ac:dyDescent="0.35"/>
    <row r="256" s="17" customFormat="1" hidden="1" x14ac:dyDescent="0.35"/>
    <row r="257" s="17" customFormat="1" hidden="1" x14ac:dyDescent="0.35"/>
    <row r="258" s="17" customFormat="1" hidden="1" x14ac:dyDescent="0.35"/>
    <row r="259" s="17" customFormat="1" hidden="1" x14ac:dyDescent="0.35"/>
    <row r="260" s="17" customFormat="1" hidden="1" x14ac:dyDescent="0.35"/>
    <row r="261" s="17" customFormat="1" hidden="1" x14ac:dyDescent="0.35"/>
    <row r="262" s="17" customFormat="1" hidden="1" x14ac:dyDescent="0.35"/>
    <row r="263" s="17" customFormat="1" hidden="1" x14ac:dyDescent="0.35"/>
    <row r="264" s="17" customFormat="1" hidden="1" x14ac:dyDescent="0.35"/>
    <row r="265" s="17" customFormat="1" hidden="1" x14ac:dyDescent="0.35"/>
    <row r="266" s="17" customFormat="1" hidden="1" x14ac:dyDescent="0.35"/>
    <row r="267" s="17" customFormat="1" hidden="1" x14ac:dyDescent="0.35"/>
    <row r="268" s="17" customFormat="1" hidden="1" x14ac:dyDescent="0.35"/>
    <row r="269" s="17" customFormat="1" hidden="1" x14ac:dyDescent="0.35"/>
    <row r="270" s="17" customFormat="1" hidden="1" x14ac:dyDescent="0.35"/>
    <row r="271" s="17" customFormat="1" hidden="1" x14ac:dyDescent="0.35"/>
    <row r="272" s="17" customFormat="1" hidden="1" x14ac:dyDescent="0.35"/>
    <row r="273" s="17" customFormat="1" hidden="1" x14ac:dyDescent="0.35"/>
    <row r="274" s="17" customFormat="1" hidden="1" x14ac:dyDescent="0.35"/>
    <row r="275" s="17" customFormat="1" hidden="1" x14ac:dyDescent="0.35"/>
    <row r="276" s="17" customFormat="1" hidden="1" x14ac:dyDescent="0.35"/>
    <row r="277" s="17" customFormat="1" hidden="1" x14ac:dyDescent="0.35"/>
    <row r="278" s="17" customFormat="1" hidden="1" x14ac:dyDescent="0.35"/>
    <row r="279" s="17" customFormat="1" hidden="1" x14ac:dyDescent="0.35"/>
    <row r="280" s="17" customFormat="1" hidden="1" x14ac:dyDescent="0.35"/>
    <row r="281" s="17" customFormat="1" hidden="1" x14ac:dyDescent="0.35"/>
    <row r="282" s="17" customFormat="1" hidden="1" x14ac:dyDescent="0.35"/>
    <row r="283" s="17" customFormat="1" hidden="1" x14ac:dyDescent="0.35"/>
    <row r="284" s="17" customFormat="1" hidden="1" x14ac:dyDescent="0.35"/>
    <row r="285" s="17" customFormat="1" hidden="1" x14ac:dyDescent="0.35"/>
    <row r="286" s="17" customFormat="1" hidden="1" x14ac:dyDescent="0.35"/>
    <row r="287" s="17" customFormat="1" hidden="1" x14ac:dyDescent="0.35"/>
    <row r="288" s="17" customFormat="1" hidden="1" x14ac:dyDescent="0.35"/>
    <row r="289" s="17" customFormat="1" hidden="1" x14ac:dyDescent="0.35"/>
    <row r="290" s="17" customFormat="1" hidden="1" x14ac:dyDescent="0.35"/>
    <row r="291" s="17" customFormat="1" hidden="1" x14ac:dyDescent="0.35"/>
    <row r="292" s="17" customFormat="1" hidden="1" x14ac:dyDescent="0.35"/>
    <row r="293" s="17" customFormat="1" hidden="1" x14ac:dyDescent="0.35"/>
    <row r="294" s="17" customFormat="1" hidden="1" x14ac:dyDescent="0.35"/>
    <row r="295" s="17" customFormat="1" hidden="1" x14ac:dyDescent="0.35"/>
    <row r="296" s="17" customFormat="1" hidden="1" x14ac:dyDescent="0.35"/>
    <row r="297" s="17" customFormat="1" hidden="1" x14ac:dyDescent="0.35"/>
    <row r="298" s="17" customFormat="1" hidden="1" x14ac:dyDescent="0.35"/>
    <row r="299" s="17" customFormat="1" hidden="1" x14ac:dyDescent="0.35"/>
    <row r="300" s="17" customFormat="1" hidden="1" x14ac:dyDescent="0.35"/>
    <row r="301" s="17" customFormat="1" hidden="1" x14ac:dyDescent="0.35"/>
    <row r="302" s="17" customFormat="1" hidden="1" x14ac:dyDescent="0.35"/>
    <row r="303" s="17" customFormat="1" hidden="1" x14ac:dyDescent="0.35"/>
    <row r="304" s="17" customFormat="1" hidden="1" x14ac:dyDescent="0.35"/>
    <row r="305" s="17" customFormat="1" hidden="1" x14ac:dyDescent="0.35"/>
    <row r="306" s="17" customFormat="1" hidden="1" x14ac:dyDescent="0.35"/>
    <row r="307" s="17" customFormat="1" hidden="1" x14ac:dyDescent="0.35"/>
    <row r="308" s="17" customFormat="1" hidden="1" x14ac:dyDescent="0.35"/>
    <row r="309" s="17" customFormat="1" hidden="1" x14ac:dyDescent="0.35"/>
    <row r="310" s="17" customFormat="1" hidden="1" x14ac:dyDescent="0.35"/>
    <row r="311" s="17" customFormat="1" hidden="1" x14ac:dyDescent="0.35"/>
    <row r="312" s="17" customFormat="1" hidden="1" x14ac:dyDescent="0.35"/>
    <row r="313" s="17" customFormat="1" hidden="1" x14ac:dyDescent="0.35"/>
    <row r="314" s="17" customFormat="1" hidden="1" x14ac:dyDescent="0.35"/>
    <row r="315" s="17" customFormat="1" hidden="1" x14ac:dyDescent="0.35"/>
    <row r="316" s="17" customFormat="1" hidden="1" x14ac:dyDescent="0.35"/>
    <row r="317" s="17" customFormat="1" hidden="1" x14ac:dyDescent="0.35"/>
    <row r="318" s="17" customFormat="1" hidden="1" x14ac:dyDescent="0.35"/>
    <row r="319" s="17" customFormat="1" hidden="1" x14ac:dyDescent="0.35"/>
    <row r="320" s="17" customFormat="1" hidden="1" x14ac:dyDescent="0.35"/>
    <row r="321" s="17" customFormat="1" hidden="1" x14ac:dyDescent="0.35"/>
    <row r="322" s="17" customFormat="1" hidden="1" x14ac:dyDescent="0.35"/>
    <row r="323" s="17" customFormat="1" hidden="1" x14ac:dyDescent="0.35"/>
    <row r="324" s="17" customFormat="1" hidden="1" x14ac:dyDescent="0.35"/>
    <row r="325" s="17" customFormat="1" hidden="1" x14ac:dyDescent="0.35"/>
    <row r="326" s="17" customFormat="1" hidden="1" x14ac:dyDescent="0.35"/>
    <row r="327" s="17" customFormat="1" hidden="1" x14ac:dyDescent="0.35"/>
    <row r="328" s="17" customFormat="1" hidden="1" x14ac:dyDescent="0.35"/>
    <row r="329" s="17" customFormat="1" hidden="1" x14ac:dyDescent="0.35"/>
    <row r="330" s="17" customFormat="1" hidden="1" x14ac:dyDescent="0.35"/>
    <row r="331" s="17" customFormat="1" hidden="1" x14ac:dyDescent="0.35"/>
    <row r="332" s="17" customFormat="1" hidden="1" x14ac:dyDescent="0.35"/>
    <row r="333" s="17" customFormat="1" hidden="1" x14ac:dyDescent="0.35"/>
    <row r="334" s="17" customFormat="1" hidden="1" x14ac:dyDescent="0.35"/>
    <row r="335" s="17" customFormat="1" hidden="1" x14ac:dyDescent="0.35"/>
    <row r="336" s="17" customFormat="1" hidden="1" x14ac:dyDescent="0.35"/>
    <row r="337" s="17" customFormat="1" hidden="1" x14ac:dyDescent="0.35"/>
    <row r="338" s="17" customFormat="1" hidden="1" x14ac:dyDescent="0.35"/>
    <row r="339" s="17" customFormat="1" hidden="1" x14ac:dyDescent="0.35"/>
    <row r="340" s="17" customFormat="1" hidden="1" x14ac:dyDescent="0.35"/>
    <row r="341" s="17" customFormat="1" hidden="1" x14ac:dyDescent="0.35"/>
    <row r="342" s="17" customFormat="1" hidden="1" x14ac:dyDescent="0.35"/>
    <row r="343" s="17" customFormat="1" hidden="1" x14ac:dyDescent="0.35"/>
    <row r="344" s="17" customFormat="1" hidden="1" x14ac:dyDescent="0.35"/>
    <row r="345" s="17" customFormat="1" hidden="1" x14ac:dyDescent="0.35"/>
    <row r="346" s="17" customFormat="1" hidden="1" x14ac:dyDescent="0.35"/>
    <row r="347" s="17" customFormat="1" hidden="1" x14ac:dyDescent="0.35"/>
    <row r="348" s="17" customFormat="1" hidden="1" x14ac:dyDescent="0.35"/>
    <row r="349" s="17" customFormat="1" hidden="1" x14ac:dyDescent="0.35"/>
    <row r="350" s="17" customFormat="1" hidden="1" x14ac:dyDescent="0.35"/>
    <row r="351" s="17" customFormat="1" hidden="1" x14ac:dyDescent="0.35"/>
    <row r="352" s="17" customFormat="1" hidden="1" x14ac:dyDescent="0.35"/>
    <row r="353" s="17" customFormat="1" hidden="1" x14ac:dyDescent="0.35"/>
    <row r="354" s="17" customFormat="1" hidden="1" x14ac:dyDescent="0.35"/>
    <row r="355" s="17" customFormat="1" hidden="1" x14ac:dyDescent="0.35"/>
    <row r="356" s="17" customFormat="1" hidden="1" x14ac:dyDescent="0.35"/>
    <row r="357" s="17" customFormat="1" hidden="1" x14ac:dyDescent="0.35"/>
    <row r="358" s="17" customFormat="1" hidden="1" x14ac:dyDescent="0.35"/>
    <row r="359" s="17" customFormat="1" hidden="1" x14ac:dyDescent="0.35"/>
    <row r="360" s="17" customFormat="1" hidden="1" x14ac:dyDescent="0.35"/>
    <row r="361" s="17" customFormat="1" hidden="1" x14ac:dyDescent="0.35"/>
    <row r="362" s="17" customFormat="1" hidden="1" x14ac:dyDescent="0.35"/>
    <row r="363" s="17" customFormat="1" hidden="1" x14ac:dyDescent="0.35"/>
    <row r="364" s="17" customFormat="1" hidden="1" x14ac:dyDescent="0.35"/>
    <row r="365" s="17" customFormat="1" hidden="1" x14ac:dyDescent="0.35"/>
    <row r="366" s="17" customFormat="1" hidden="1" x14ac:dyDescent="0.35"/>
    <row r="367" s="17" customFormat="1" hidden="1" x14ac:dyDescent="0.35"/>
    <row r="368" s="17" customFormat="1" hidden="1" x14ac:dyDescent="0.35"/>
    <row r="369" s="17" customFormat="1" hidden="1" x14ac:dyDescent="0.35"/>
    <row r="370" s="17" customFormat="1" hidden="1" x14ac:dyDescent="0.35"/>
    <row r="371" s="17" customFormat="1" hidden="1" x14ac:dyDescent="0.35"/>
    <row r="372" s="17" customFormat="1" hidden="1" x14ac:dyDescent="0.35"/>
    <row r="373" s="17" customFormat="1" hidden="1" x14ac:dyDescent="0.35"/>
    <row r="374" s="17" customFormat="1" hidden="1" x14ac:dyDescent="0.35"/>
    <row r="375" s="17" customFormat="1" hidden="1" x14ac:dyDescent="0.35"/>
    <row r="376" s="17" customFormat="1" hidden="1" x14ac:dyDescent="0.35"/>
    <row r="377" s="17" customFormat="1" hidden="1" x14ac:dyDescent="0.35"/>
    <row r="378" s="17" customFormat="1" hidden="1" x14ac:dyDescent="0.35"/>
    <row r="379" s="17" customFormat="1" hidden="1" x14ac:dyDescent="0.35"/>
    <row r="380" s="17" customFormat="1" hidden="1" x14ac:dyDescent="0.35"/>
    <row r="381" s="17" customFormat="1" hidden="1" x14ac:dyDescent="0.35"/>
    <row r="382" s="17" customFormat="1" hidden="1" x14ac:dyDescent="0.35"/>
    <row r="383" s="17" customFormat="1" hidden="1" x14ac:dyDescent="0.35"/>
    <row r="384" s="17" customFormat="1" hidden="1" x14ac:dyDescent="0.35"/>
    <row r="385" s="17" customFormat="1" hidden="1" x14ac:dyDescent="0.35"/>
    <row r="386" s="17" customFormat="1" hidden="1" x14ac:dyDescent="0.35"/>
    <row r="387" s="17" customFormat="1" hidden="1" x14ac:dyDescent="0.35"/>
    <row r="388" s="17" customFormat="1" hidden="1" x14ac:dyDescent="0.35"/>
    <row r="389" s="17" customFormat="1" hidden="1" x14ac:dyDescent="0.35"/>
    <row r="390" s="17" customFormat="1" hidden="1" x14ac:dyDescent="0.35"/>
    <row r="391" s="17" customFormat="1" hidden="1" x14ac:dyDescent="0.35"/>
    <row r="392" s="17" customFormat="1" hidden="1" x14ac:dyDescent="0.35"/>
    <row r="393" s="17" customFormat="1" hidden="1" x14ac:dyDescent="0.35"/>
    <row r="394" s="17" customFormat="1" hidden="1" x14ac:dyDescent="0.35"/>
    <row r="395" s="17" customFormat="1" hidden="1" x14ac:dyDescent="0.35"/>
    <row r="396" s="17" customFormat="1" hidden="1" x14ac:dyDescent="0.35"/>
    <row r="397" s="17" customFormat="1" hidden="1" x14ac:dyDescent="0.35"/>
    <row r="398" s="17" customFormat="1" hidden="1" x14ac:dyDescent="0.35"/>
    <row r="399" s="17" customFormat="1" hidden="1" x14ac:dyDescent="0.35"/>
    <row r="400" s="17" customFormat="1" hidden="1" x14ac:dyDescent="0.35"/>
    <row r="401" s="17" customFormat="1" hidden="1" x14ac:dyDescent="0.35"/>
    <row r="402" s="17" customFormat="1" hidden="1" x14ac:dyDescent="0.35"/>
    <row r="403" s="17" customFormat="1" hidden="1" x14ac:dyDescent="0.35"/>
    <row r="404" s="17" customFormat="1" hidden="1" x14ac:dyDescent="0.35"/>
    <row r="405" s="17" customFormat="1" hidden="1" x14ac:dyDescent="0.35"/>
    <row r="406" s="17" customFormat="1" hidden="1" x14ac:dyDescent="0.35"/>
    <row r="407" s="17" customFormat="1" hidden="1" x14ac:dyDescent="0.35"/>
    <row r="408" s="17" customFormat="1" hidden="1" x14ac:dyDescent="0.35"/>
    <row r="409" s="17" customFormat="1" hidden="1" x14ac:dyDescent="0.35"/>
    <row r="410" s="17" customFormat="1" hidden="1" x14ac:dyDescent="0.35"/>
    <row r="411" s="17" customFormat="1" hidden="1" x14ac:dyDescent="0.35"/>
    <row r="412" s="17" customFormat="1" hidden="1" x14ac:dyDescent="0.35"/>
    <row r="413" s="17" customFormat="1" hidden="1" x14ac:dyDescent="0.35"/>
    <row r="414" s="17" customFormat="1" hidden="1" x14ac:dyDescent="0.35"/>
    <row r="415" s="17" customFormat="1" hidden="1" x14ac:dyDescent="0.35"/>
    <row r="416" s="17" customFormat="1" hidden="1" x14ac:dyDescent="0.35"/>
    <row r="417" s="17" customFormat="1" hidden="1" x14ac:dyDescent="0.35"/>
    <row r="418" s="17" customFormat="1" hidden="1" x14ac:dyDescent="0.35"/>
    <row r="419" s="17" customFormat="1" hidden="1" x14ac:dyDescent="0.35"/>
    <row r="420" s="17" customFormat="1" hidden="1" x14ac:dyDescent="0.35"/>
    <row r="421" s="17" customFormat="1" hidden="1" x14ac:dyDescent="0.35"/>
    <row r="422" s="17" customFormat="1" hidden="1" x14ac:dyDescent="0.35"/>
    <row r="423" s="17" customFormat="1" hidden="1" x14ac:dyDescent="0.35"/>
    <row r="424" s="17" customFormat="1" hidden="1" x14ac:dyDescent="0.35"/>
    <row r="425" s="17" customFormat="1" hidden="1" x14ac:dyDescent="0.35"/>
    <row r="426" s="17" customFormat="1" hidden="1" x14ac:dyDescent="0.35"/>
    <row r="427" s="17" customFormat="1" hidden="1" x14ac:dyDescent="0.35"/>
    <row r="428" s="17" customFormat="1" hidden="1" x14ac:dyDescent="0.35"/>
    <row r="429" s="17" customFormat="1" hidden="1" x14ac:dyDescent="0.35"/>
    <row r="430" s="17" customFormat="1" hidden="1" x14ac:dyDescent="0.35"/>
    <row r="431" s="17" customFormat="1" hidden="1" x14ac:dyDescent="0.35"/>
    <row r="432" s="17" customFormat="1" hidden="1" x14ac:dyDescent="0.35"/>
    <row r="433" s="17" customFormat="1" hidden="1" x14ac:dyDescent="0.35"/>
    <row r="434" s="17" customFormat="1" hidden="1" x14ac:dyDescent="0.35"/>
    <row r="435" s="17" customFormat="1" hidden="1" x14ac:dyDescent="0.35"/>
    <row r="436" s="17" customFormat="1" hidden="1" x14ac:dyDescent="0.35"/>
    <row r="437" s="17" customFormat="1" hidden="1" x14ac:dyDescent="0.35"/>
    <row r="438" s="17" customFormat="1" hidden="1" x14ac:dyDescent="0.35"/>
    <row r="439" s="17" customFormat="1" hidden="1" x14ac:dyDescent="0.35"/>
    <row r="440" s="17" customFormat="1" hidden="1" x14ac:dyDescent="0.35"/>
    <row r="441" s="17" customFormat="1" hidden="1" x14ac:dyDescent="0.35"/>
    <row r="442" s="17" customFormat="1" hidden="1" x14ac:dyDescent="0.35"/>
    <row r="443" s="17" customFormat="1" hidden="1" x14ac:dyDescent="0.35"/>
    <row r="444" s="17" customFormat="1" hidden="1" x14ac:dyDescent="0.35"/>
    <row r="445" s="17" customFormat="1" hidden="1" x14ac:dyDescent="0.35"/>
    <row r="446" s="17" customFormat="1" hidden="1" x14ac:dyDescent="0.35"/>
    <row r="447" s="17" customFormat="1" hidden="1" x14ac:dyDescent="0.35"/>
    <row r="448" s="17" customFormat="1" hidden="1" x14ac:dyDescent="0.35"/>
    <row r="449" s="17" customFormat="1" hidden="1" x14ac:dyDescent="0.35"/>
    <row r="450" s="17" customFormat="1" hidden="1" x14ac:dyDescent="0.35"/>
    <row r="451" s="17" customFormat="1" hidden="1" x14ac:dyDescent="0.35"/>
    <row r="452" s="17" customFormat="1" hidden="1" x14ac:dyDescent="0.35"/>
    <row r="453" s="17" customFormat="1" hidden="1" x14ac:dyDescent="0.35"/>
    <row r="454" ht="14.5" customHeight="1" x14ac:dyDescent="0.35"/>
    <row r="455" ht="14.5" customHeight="1" x14ac:dyDescent="0.35"/>
    <row r="456" ht="14.5" customHeight="1" x14ac:dyDescent="0.35"/>
  </sheetData>
  <sheetProtection algorithmName="SHA-512" hashValue="h2x3mxTKg5obe2UpuVfzucGe6qURYm8j8+yEOMpesqhamLxDbNw8dpsvMorrk3bE7zVWA+CG9fuOwkpEwdGUAQ==" saltValue="qUbDc41lid44L+Z5ZCQfR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3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5"/>
  <cols>
    <col min="1" max="1" width="4" style="39" customWidth="1"/>
    <col min="2" max="2" width="60.1796875" style="39" customWidth="1"/>
    <col min="3" max="3" width="11.7265625" style="39" customWidth="1"/>
    <col min="4" max="4" width="7.7265625" style="39" customWidth="1"/>
    <col min="5" max="5" width="10" style="39" customWidth="1"/>
    <col min="6" max="7" width="12" style="39" customWidth="1"/>
    <col min="8" max="8" width="5.1796875" style="147" customWidth="1"/>
    <col min="9" max="9" width="6.81640625" style="39" customWidth="1"/>
    <col min="10" max="10" width="5.1796875" style="147" customWidth="1"/>
    <col min="11" max="11" width="6.81640625" style="39" customWidth="1"/>
    <col min="12" max="12" width="5.1796875" style="147" customWidth="1"/>
    <col min="13" max="13" width="6.81640625" style="39" customWidth="1"/>
    <col min="14" max="14" width="5.1796875" style="147" customWidth="1"/>
    <col min="15" max="15" width="6.81640625" style="39" customWidth="1"/>
    <col min="16" max="16" width="11.54296875" style="39" customWidth="1"/>
    <col min="17" max="17" width="5.1796875" style="147" customWidth="1"/>
    <col min="18" max="18" width="6.81640625" style="39" customWidth="1"/>
    <col min="19" max="19" width="5.1796875" style="147" customWidth="1"/>
    <col min="20" max="20" width="6.81640625" style="39" customWidth="1"/>
    <col min="21" max="21" width="5.1796875" style="147" customWidth="1"/>
    <col min="22" max="22" width="6.81640625" style="39" customWidth="1"/>
    <col min="23" max="23" width="5.1796875" style="147" customWidth="1"/>
    <col min="24" max="24" width="6.81640625" style="39" customWidth="1"/>
    <col min="25" max="25" width="11.54296875" style="39" customWidth="1"/>
    <col min="26" max="27" width="10.7265625" style="39" customWidth="1"/>
    <col min="28" max="28" width="9.1796875" style="39" customWidth="1"/>
    <col min="29" max="30" width="0" style="39" hidden="1" customWidth="1"/>
    <col min="31" max="16384" width="9.1796875" style="39" hidden="1"/>
  </cols>
  <sheetData>
    <row r="1" spans="1:28" ht="35.25" customHeight="1" x14ac:dyDescent="0.35">
      <c r="A1" s="15"/>
      <c r="B1" s="118" t="s">
        <v>127</v>
      </c>
      <c r="C1" s="100"/>
      <c r="D1" s="100"/>
      <c r="E1" s="100"/>
      <c r="F1" s="100"/>
      <c r="G1" s="100"/>
      <c r="H1" s="141"/>
      <c r="I1" s="100"/>
      <c r="J1" s="141"/>
      <c r="K1" s="100"/>
      <c r="L1" s="141"/>
      <c r="M1" s="100"/>
      <c r="N1" s="141"/>
      <c r="O1" s="100"/>
      <c r="P1" s="100"/>
      <c r="Q1" s="141"/>
      <c r="R1" s="100"/>
      <c r="S1" s="141"/>
      <c r="T1" s="100"/>
      <c r="U1" s="141"/>
      <c r="V1" s="100"/>
      <c r="W1" s="141"/>
      <c r="X1" s="100"/>
      <c r="Y1" s="100"/>
      <c r="Z1" s="100"/>
      <c r="AA1" s="100"/>
      <c r="AB1" s="100"/>
    </row>
    <row r="2" spans="1:28" s="50" customFormat="1" ht="5.15" customHeight="1" x14ac:dyDescent="0.35">
      <c r="B2" s="148"/>
      <c r="C2" s="149"/>
      <c r="D2" s="149"/>
      <c r="E2" s="149"/>
      <c r="F2" s="149"/>
      <c r="G2" s="149"/>
      <c r="H2" s="150"/>
      <c r="I2" s="149"/>
      <c r="J2" s="150"/>
      <c r="K2" s="149"/>
      <c r="L2" s="150"/>
      <c r="M2" s="149"/>
      <c r="N2" s="150"/>
      <c r="O2" s="149"/>
      <c r="P2" s="149"/>
      <c r="Q2" s="150"/>
      <c r="R2" s="149"/>
      <c r="S2" s="150"/>
      <c r="T2" s="149"/>
      <c r="U2" s="150"/>
      <c r="V2" s="149"/>
      <c r="W2" s="150"/>
      <c r="X2" s="149"/>
      <c r="Y2" s="149"/>
      <c r="AB2" s="149"/>
    </row>
    <row r="3" spans="1:28" s="114" customFormat="1" ht="31.5" customHeight="1" x14ac:dyDescent="0.45">
      <c r="B3" s="501" t="s">
        <v>121</v>
      </c>
      <c r="C3" s="115"/>
      <c r="D3" s="115"/>
      <c r="E3" s="115"/>
      <c r="F3" s="115"/>
      <c r="H3" s="142"/>
      <c r="I3" s="115"/>
      <c r="J3" s="142"/>
      <c r="K3" s="115"/>
      <c r="L3" s="142"/>
      <c r="M3" s="116"/>
      <c r="N3" s="142"/>
      <c r="O3" s="116"/>
      <c r="P3" s="116"/>
      <c r="Q3" s="142"/>
      <c r="R3" s="116"/>
      <c r="S3" s="142"/>
      <c r="T3" s="116"/>
      <c r="U3" s="142"/>
      <c r="V3" s="116"/>
      <c r="W3" s="142"/>
      <c r="X3" s="116"/>
      <c r="Y3" s="116"/>
      <c r="Z3" s="115"/>
      <c r="AA3" s="117"/>
    </row>
    <row r="4" spans="1:28" ht="35.5" customHeight="1" thickBot="1" x14ac:dyDescent="0.6">
      <c r="B4" s="152" t="s">
        <v>216</v>
      </c>
      <c r="C4" s="18"/>
      <c r="D4" s="18"/>
      <c r="E4" s="18"/>
      <c r="F4" s="51"/>
      <c r="G4" s="18"/>
      <c r="H4" s="143"/>
      <c r="I4" s="18"/>
      <c r="J4" s="143"/>
      <c r="K4" s="18"/>
      <c r="L4" s="143"/>
      <c r="M4" s="19"/>
      <c r="N4" s="143"/>
      <c r="O4" s="19"/>
      <c r="P4" s="19"/>
      <c r="Q4" s="143"/>
      <c r="R4" s="19"/>
      <c r="S4" s="143"/>
      <c r="T4" s="19"/>
      <c r="U4" s="143"/>
      <c r="V4" s="19"/>
      <c r="W4" s="143"/>
      <c r="X4" s="19"/>
      <c r="Y4" s="19"/>
      <c r="Z4" s="18"/>
      <c r="AA4" s="20"/>
    </row>
    <row r="5" spans="1:28" ht="30.75" customHeight="1" thickTop="1" thickBot="1" x14ac:dyDescent="0.4">
      <c r="B5" s="372" t="s">
        <v>18</v>
      </c>
      <c r="C5" s="373" t="s">
        <v>22</v>
      </c>
      <c r="D5" s="373" t="s">
        <v>91</v>
      </c>
      <c r="E5" s="373" t="s">
        <v>23</v>
      </c>
      <c r="F5" s="333" t="s">
        <v>28</v>
      </c>
      <c r="G5" s="334"/>
      <c r="H5" s="333" t="s">
        <v>31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3" t="s">
        <v>4</v>
      </c>
      <c r="AA5" s="334"/>
    </row>
    <row r="6" spans="1:28" ht="44.15" customHeight="1" thickTop="1" thickBot="1" x14ac:dyDescent="0.4">
      <c r="B6" s="372"/>
      <c r="C6" s="374"/>
      <c r="D6" s="374"/>
      <c r="E6" s="374"/>
      <c r="F6" s="335" t="s">
        <v>29</v>
      </c>
      <c r="G6" s="337" t="s">
        <v>30</v>
      </c>
      <c r="H6" s="333" t="s">
        <v>36</v>
      </c>
      <c r="I6" s="339"/>
      <c r="J6" s="339"/>
      <c r="K6" s="339"/>
      <c r="L6" s="339"/>
      <c r="M6" s="339"/>
      <c r="N6" s="339"/>
      <c r="O6" s="339"/>
      <c r="P6" s="339"/>
      <c r="Q6" s="333" t="s">
        <v>35</v>
      </c>
      <c r="R6" s="339"/>
      <c r="S6" s="339"/>
      <c r="T6" s="339"/>
      <c r="U6" s="339"/>
      <c r="V6" s="339"/>
      <c r="W6" s="339"/>
      <c r="X6" s="339"/>
      <c r="Y6" s="339"/>
      <c r="Z6" s="335" t="s">
        <v>13</v>
      </c>
      <c r="AA6" s="337" t="s">
        <v>21</v>
      </c>
    </row>
    <row r="7" spans="1:28" ht="49.5" customHeight="1" thickTop="1" thickBot="1" x14ac:dyDescent="0.4">
      <c r="B7" s="372"/>
      <c r="C7" s="375"/>
      <c r="D7" s="375"/>
      <c r="E7" s="375"/>
      <c r="F7" s="336"/>
      <c r="G7" s="338"/>
      <c r="H7" s="340" t="s">
        <v>146</v>
      </c>
      <c r="I7" s="341"/>
      <c r="J7" s="342" t="s">
        <v>32</v>
      </c>
      <c r="K7" s="342"/>
      <c r="L7" s="342" t="s">
        <v>33</v>
      </c>
      <c r="M7" s="342"/>
      <c r="N7" s="343" t="s">
        <v>34</v>
      </c>
      <c r="O7" s="342"/>
      <c r="P7" s="258" t="s">
        <v>147</v>
      </c>
      <c r="Q7" s="340" t="s">
        <v>146</v>
      </c>
      <c r="R7" s="341"/>
      <c r="S7" s="342" t="s">
        <v>32</v>
      </c>
      <c r="T7" s="342"/>
      <c r="U7" s="342" t="s">
        <v>33</v>
      </c>
      <c r="V7" s="342"/>
      <c r="W7" s="343" t="s">
        <v>34</v>
      </c>
      <c r="X7" s="342"/>
      <c r="Y7" s="258" t="s">
        <v>147</v>
      </c>
      <c r="Z7" s="336"/>
      <c r="AA7" s="338"/>
    </row>
    <row r="8" spans="1:28" s="13" customFormat="1" ht="21.75" customHeight="1" thickTop="1" thickBot="1" x14ac:dyDescent="0.4">
      <c r="B8" s="31" t="s">
        <v>201</v>
      </c>
      <c r="C8" s="31" t="s">
        <v>24</v>
      </c>
      <c r="D8" s="73">
        <v>1</v>
      </c>
      <c r="E8" s="31" t="s">
        <v>25</v>
      </c>
      <c r="F8" s="81">
        <f>INDEX(Q2_Adult,15,7)</f>
        <v>24</v>
      </c>
      <c r="G8" s="87" t="e">
        <f>INDEX(Q2_Adult,15,8)</f>
        <v>#N/A</v>
      </c>
      <c r="H8" s="244">
        <f>INDEX(Q2_Adult,15,9)</f>
        <v>403</v>
      </c>
      <c r="I8" s="234">
        <f>IFERROR(H8/P8,0)</f>
        <v>0.42421052631578948</v>
      </c>
      <c r="J8" s="235">
        <f>INDEX(Q2_Adult,15,10)</f>
        <v>246</v>
      </c>
      <c r="K8" s="234">
        <f>IFERROR(J8/P8,0)</f>
        <v>0.25894736842105265</v>
      </c>
      <c r="L8" s="235">
        <f>INDEX(Q2_Adult,15,11)</f>
        <v>298</v>
      </c>
      <c r="M8" s="234">
        <f>IFERROR(L8/P8,0)</f>
        <v>0.31368421052631579</v>
      </c>
      <c r="N8" s="235">
        <f>INDEX(Q2_Adult,15,12)</f>
        <v>3</v>
      </c>
      <c r="O8" s="234">
        <f>IFERROR(N8/P8,0)</f>
        <v>3.1578947368421052E-3</v>
      </c>
      <c r="P8" s="236">
        <f>INDEX(Q2_Adult,15,13)</f>
        <v>950</v>
      </c>
      <c r="Q8" s="233" t="e">
        <f>INDEX(Q2_Adult,15,15)</f>
        <v>#N/A</v>
      </c>
      <c r="R8" s="234">
        <f>IFERROR(Q8/Y8,0)</f>
        <v>0</v>
      </c>
      <c r="S8" s="235" t="e">
        <f>INDEX(Q2_Adult,15,16)</f>
        <v>#N/A</v>
      </c>
      <c r="T8" s="234">
        <f>IFERROR(S8/Y8,0)</f>
        <v>0</v>
      </c>
      <c r="U8" s="237" t="e">
        <f>INDEX(Q2_Adult,15,17)</f>
        <v>#N/A</v>
      </c>
      <c r="V8" s="234">
        <f>IFERROR(U8/Y8,0)</f>
        <v>0</v>
      </c>
      <c r="W8" s="235" t="e">
        <f>INDEX(Q2_Adult,15,18)</f>
        <v>#N/A</v>
      </c>
      <c r="X8" s="234">
        <f>IFERROR(W8/Y8,0)</f>
        <v>0</v>
      </c>
      <c r="Y8" s="138">
        <f>INDEX(Q2_Adult,15,19)</f>
        <v>0</v>
      </c>
      <c r="Z8" s="83">
        <f>INDEX(Q2_Adult,15,21)</f>
        <v>0.193</v>
      </c>
      <c r="AA8" s="84" t="e">
        <f>INDEX(Q2_Adult,15,22)</f>
        <v>#N/A</v>
      </c>
    </row>
    <row r="9" spans="1:28" s="13" customFormat="1" ht="21.75" customHeight="1" thickTop="1" thickBot="1" x14ac:dyDescent="0.4">
      <c r="B9" s="32" t="s">
        <v>196</v>
      </c>
      <c r="C9" s="32" t="s">
        <v>24</v>
      </c>
      <c r="D9" s="74">
        <v>2</v>
      </c>
      <c r="E9" s="32" t="s">
        <v>26</v>
      </c>
      <c r="F9" s="82">
        <f>INDEX(Q2_Adult,6,7)</f>
        <v>18</v>
      </c>
      <c r="G9" s="88">
        <f>INDEX(Q2_Adult,6,8)</f>
        <v>0</v>
      </c>
      <c r="H9" s="238">
        <f>INDEX(Q2_Adult,6,9)</f>
        <v>39</v>
      </c>
      <c r="I9" s="239">
        <f>IFERROR(H9/P9,0)</f>
        <v>0.27857142857142858</v>
      </c>
      <c r="J9" s="240">
        <f>INDEX(Q2_Adult,6,10)</f>
        <v>19</v>
      </c>
      <c r="K9" s="239">
        <f>IFERROR(J9/P9,0)</f>
        <v>0.1357142857142857</v>
      </c>
      <c r="L9" s="240">
        <f>INDEX(Q2_Adult,6,11)</f>
        <v>62</v>
      </c>
      <c r="M9" s="239">
        <f>IFERROR(L9/P9,0)</f>
        <v>0.44285714285714284</v>
      </c>
      <c r="N9" s="240">
        <f>INDEX(Q2_Adult,6,12)</f>
        <v>20</v>
      </c>
      <c r="O9" s="239">
        <f>IFERROR(N9/P9,0)</f>
        <v>0.14285714285714285</v>
      </c>
      <c r="P9" s="241">
        <f>INDEX(Q2_Adult,6,13)</f>
        <v>140</v>
      </c>
      <c r="Q9" s="242">
        <f>INDEX(Q2_Adult,6,15)</f>
        <v>0</v>
      </c>
      <c r="R9" s="239">
        <f>IFERROR(Q9/Y9,0)</f>
        <v>0</v>
      </c>
      <c r="S9" s="240">
        <f>INDEX(Q2_Adult,6,16)</f>
        <v>0</v>
      </c>
      <c r="T9" s="239">
        <f>IFERROR(S9/Y9,0)</f>
        <v>0</v>
      </c>
      <c r="U9" s="243">
        <f>INDEX(Q2_Adult,6,17)</f>
        <v>0</v>
      </c>
      <c r="V9" s="239">
        <f>IFERROR(U9/Y9,0)</f>
        <v>0</v>
      </c>
      <c r="W9" s="240">
        <f>INDEX(Q2_Adult,6,18)</f>
        <v>0</v>
      </c>
      <c r="X9" s="239">
        <f>IFERROR(W9/Y9,0)</f>
        <v>0</v>
      </c>
      <c r="Y9" s="139">
        <f>INDEX(Q2_Adult,6,19)</f>
        <v>0</v>
      </c>
      <c r="Z9" s="85">
        <f>INDEX(Q2_Adult,6,21)</f>
        <v>0.09</v>
      </c>
      <c r="AA9" s="86">
        <f>INDEX(Q2_Adult,6,22)</f>
        <v>0</v>
      </c>
    </row>
    <row r="10" spans="1:28" s="99" customFormat="1" ht="21.75" customHeight="1" thickTop="1" thickBot="1" x14ac:dyDescent="0.4">
      <c r="B10" s="31" t="s">
        <v>195</v>
      </c>
      <c r="C10" s="31" t="s">
        <v>24</v>
      </c>
      <c r="D10" s="73">
        <v>3</v>
      </c>
      <c r="E10" s="31" t="s">
        <v>26</v>
      </c>
      <c r="F10" s="81">
        <f>INDEX(Q2_Adult,5,7)</f>
        <v>0</v>
      </c>
      <c r="G10" s="87">
        <f>INDEX(Q2_Adult,5,8)</f>
        <v>0</v>
      </c>
      <c r="H10" s="244">
        <f>INDEX(Q2_Adult,5,9)</f>
        <v>52</v>
      </c>
      <c r="I10" s="234">
        <f>IFERROR(H10/P10,0)</f>
        <v>0.24880382775119617</v>
      </c>
      <c r="J10" s="235">
        <f>INDEX(Q2_Adult,5,10)</f>
        <v>35</v>
      </c>
      <c r="K10" s="234">
        <f>IFERROR(J10/P10,0)</f>
        <v>0.1674641148325359</v>
      </c>
      <c r="L10" s="235">
        <f>INDEX(Q2_Adult,5,11)</f>
        <v>55</v>
      </c>
      <c r="M10" s="234">
        <f>IFERROR(L10/P10,0)</f>
        <v>0.26315789473684209</v>
      </c>
      <c r="N10" s="235">
        <f>INDEX(Q2_Adult,5,12)</f>
        <v>67</v>
      </c>
      <c r="O10" s="234">
        <f>IFERROR(N10/P10,0)</f>
        <v>0.32057416267942584</v>
      </c>
      <c r="P10" s="236">
        <f>INDEX(Q2_Adult,5,13)</f>
        <v>209</v>
      </c>
      <c r="Q10" s="233">
        <f>INDEX(Q2_Adult,5,15)</f>
        <v>0</v>
      </c>
      <c r="R10" s="234">
        <f>IFERROR(Q10/Y10,0)</f>
        <v>0</v>
      </c>
      <c r="S10" s="235">
        <f>INDEX(Q2_Adult,5,16)</f>
        <v>0</v>
      </c>
      <c r="T10" s="234">
        <f>IFERROR(S10/Y10,0)</f>
        <v>0</v>
      </c>
      <c r="U10" s="237">
        <f>INDEX(Q2_Adult,5,17)</f>
        <v>0</v>
      </c>
      <c r="V10" s="234">
        <f>IFERROR(U10/Y10,0)</f>
        <v>0</v>
      </c>
      <c r="W10" s="235">
        <f>INDEX(Q2_Adult,5,18)</f>
        <v>0</v>
      </c>
      <c r="X10" s="234">
        <f>IFERROR(W10/Y10,0)</f>
        <v>0</v>
      </c>
      <c r="Y10" s="138">
        <f>INDEX(Q2_Adult,5,19)</f>
        <v>0</v>
      </c>
      <c r="Z10" s="83">
        <f>INDEX(Q2_Adult,5,21)</f>
        <v>0.08</v>
      </c>
      <c r="AA10" s="84">
        <f>INDEX(Q2_Adult,5,22)</f>
        <v>0</v>
      </c>
    </row>
    <row r="11" spans="1:28" s="13" customFormat="1" ht="21.75" customHeight="1" thickTop="1" thickBot="1" x14ac:dyDescent="0.4">
      <c r="B11" s="32" t="s">
        <v>197</v>
      </c>
      <c r="C11" s="32" t="s">
        <v>24</v>
      </c>
      <c r="D11" s="74">
        <v>3</v>
      </c>
      <c r="E11" s="32" t="s">
        <v>26</v>
      </c>
      <c r="F11" s="82">
        <f>INDEX(Q2_Adult,7,7)</f>
        <v>0</v>
      </c>
      <c r="G11" s="88">
        <f>INDEX(Q2_Adult,7,8)</f>
        <v>60</v>
      </c>
      <c r="H11" s="238">
        <f>INDEX(Q2_Adult,7,9)</f>
        <v>0</v>
      </c>
      <c r="I11" s="239">
        <f t="shared" ref="I11:I25" si="0">IFERROR(H11/P11,0)</f>
        <v>0</v>
      </c>
      <c r="J11" s="240">
        <f>INDEX(Q2_Adult,7,10)</f>
        <v>0</v>
      </c>
      <c r="K11" s="239">
        <f t="shared" ref="K11:K25" si="1">IFERROR(J11/P11,0)</f>
        <v>0</v>
      </c>
      <c r="L11" s="240">
        <f>INDEX(Q2_Adult,7,11)</f>
        <v>0</v>
      </c>
      <c r="M11" s="239">
        <f t="shared" ref="M11:M25" si="2">IFERROR(L11/P11,0)</f>
        <v>0</v>
      </c>
      <c r="N11" s="240">
        <f>INDEX(Q2_Adult,7,12)</f>
        <v>0</v>
      </c>
      <c r="O11" s="239">
        <f t="shared" ref="O11:O25" si="3">IFERROR(N11/P11,0)</f>
        <v>0</v>
      </c>
      <c r="P11" s="241">
        <f>INDEX(Q2_Adult,7,13)</f>
        <v>0</v>
      </c>
      <c r="Q11" s="242">
        <f>INDEX(Q2_Adult,7,15)</f>
        <v>35</v>
      </c>
      <c r="R11" s="239">
        <f t="shared" ref="R11:R25" si="4">IFERROR(Q11/Y11,0)</f>
        <v>0.14056224899598393</v>
      </c>
      <c r="S11" s="240">
        <f>INDEX(Q2_Adult,7,16)</f>
        <v>70</v>
      </c>
      <c r="T11" s="239">
        <f t="shared" ref="T11:T25" si="5">IFERROR(S11/Y11,0)</f>
        <v>0.28112449799196787</v>
      </c>
      <c r="U11" s="243">
        <f>INDEX(Q2_Adult,7,17)</f>
        <v>82</v>
      </c>
      <c r="V11" s="239">
        <f t="shared" ref="V11:V25" si="6">IFERROR(U11/Y11,0)</f>
        <v>0.32931726907630521</v>
      </c>
      <c r="W11" s="240">
        <f>INDEX(Q2_Adult,7,18)</f>
        <v>62</v>
      </c>
      <c r="X11" s="239">
        <f t="shared" ref="X11:X25" si="7">IFERROR(W11/Y11,0)</f>
        <v>0.24899598393574296</v>
      </c>
      <c r="Y11" s="139">
        <f>INDEX(Q2_Adult,7,19)</f>
        <v>249</v>
      </c>
      <c r="Z11" s="85">
        <f>INDEX(Q2_Adult,7,21)</f>
        <v>0</v>
      </c>
      <c r="AA11" s="86">
        <f>INDEX(Q2_Adult,7,22)</f>
        <v>0</v>
      </c>
    </row>
    <row r="12" spans="1:28" s="13" customFormat="1" ht="21.75" customHeight="1" thickTop="1" thickBot="1" x14ac:dyDescent="0.4">
      <c r="B12" s="31" t="s">
        <v>198</v>
      </c>
      <c r="C12" s="31" t="s">
        <v>24</v>
      </c>
      <c r="D12" s="73">
        <v>3</v>
      </c>
      <c r="E12" s="31" t="s">
        <v>26</v>
      </c>
      <c r="F12" s="81" t="str">
        <f>INDEX(Q2_Adult,8,7)</f>
        <v>No data</v>
      </c>
      <c r="G12" s="87" t="str">
        <f>INDEX(Q2_Adult,8,8)</f>
        <v>No data</v>
      </c>
      <c r="H12" s="244" t="str">
        <f>INDEX(Q2_Adult,8,9)</f>
        <v>No data</v>
      </c>
      <c r="I12" s="234">
        <f t="shared" si="0"/>
        <v>0</v>
      </c>
      <c r="J12" s="235" t="str">
        <f>INDEX(Q2_Adult,8,10)</f>
        <v>No data</v>
      </c>
      <c r="K12" s="234">
        <f t="shared" si="1"/>
        <v>0</v>
      </c>
      <c r="L12" s="235" t="str">
        <f>INDEX(Q2_Adult,8,11)</f>
        <v>No data</v>
      </c>
      <c r="M12" s="234">
        <f t="shared" si="2"/>
        <v>0</v>
      </c>
      <c r="N12" s="235" t="str">
        <f>INDEX(Q2_Adult,8,12)</f>
        <v>No data</v>
      </c>
      <c r="O12" s="234">
        <f t="shared" si="3"/>
        <v>0</v>
      </c>
      <c r="P12" s="236" t="str">
        <f>INDEX(Q2_Adult,8,13)</f>
        <v>No data</v>
      </c>
      <c r="Q12" s="233" t="str">
        <f>INDEX(Q2_Adult,8,15)</f>
        <v>No data</v>
      </c>
      <c r="R12" s="234">
        <f t="shared" si="4"/>
        <v>0</v>
      </c>
      <c r="S12" s="235" t="str">
        <f>INDEX(Q2_Adult,8,16)</f>
        <v>No data</v>
      </c>
      <c r="T12" s="234">
        <f t="shared" si="5"/>
        <v>0</v>
      </c>
      <c r="U12" s="237" t="str">
        <f>INDEX(Q2_Adult,8,17)</f>
        <v>No data</v>
      </c>
      <c r="V12" s="234">
        <f t="shared" si="6"/>
        <v>0</v>
      </c>
      <c r="W12" s="235" t="str">
        <f>INDEX(Q2_Adult,8,18)</f>
        <v>No data</v>
      </c>
      <c r="X12" s="234">
        <f t="shared" si="7"/>
        <v>0</v>
      </c>
      <c r="Y12" s="138" t="str">
        <f>INDEX(Q2_Adult,8,19)</f>
        <v>No data</v>
      </c>
      <c r="Z12" s="83" t="str">
        <f>INDEX(Q2_Adult,8,21)</f>
        <v>No data</v>
      </c>
      <c r="AA12" s="84" t="str">
        <f>INDEX(Q2_Adult,8,22)</f>
        <v>No data</v>
      </c>
    </row>
    <row r="13" spans="1:28" s="13" customFormat="1" ht="21.75" customHeight="1" thickTop="1" thickBot="1" x14ac:dyDescent="0.4">
      <c r="B13" s="32" t="s">
        <v>199</v>
      </c>
      <c r="C13" s="32" t="s">
        <v>24</v>
      </c>
      <c r="D13" s="74">
        <v>3</v>
      </c>
      <c r="E13" s="32" t="s">
        <v>26</v>
      </c>
      <c r="F13" s="82">
        <f>INDEX(Q2_Adult,9,7)</f>
        <v>0</v>
      </c>
      <c r="G13" s="88">
        <f>INDEX(Q2_Adult,9,8)</f>
        <v>0</v>
      </c>
      <c r="H13" s="238">
        <f>INDEX(Q2_Adult,9,9)</f>
        <v>0</v>
      </c>
      <c r="I13" s="239">
        <f t="shared" si="0"/>
        <v>0</v>
      </c>
      <c r="J13" s="240">
        <f>INDEX(Q2_Adult,9,10)</f>
        <v>0</v>
      </c>
      <c r="K13" s="239">
        <f t="shared" si="1"/>
        <v>0</v>
      </c>
      <c r="L13" s="240">
        <f>INDEX(Q2_Adult,9,11)</f>
        <v>0</v>
      </c>
      <c r="M13" s="239">
        <f t="shared" si="2"/>
        <v>0</v>
      </c>
      <c r="N13" s="240">
        <f>INDEX(Q2_Adult,9,12)</f>
        <v>0</v>
      </c>
      <c r="O13" s="239">
        <f t="shared" si="3"/>
        <v>0</v>
      </c>
      <c r="P13" s="241">
        <f>INDEX(Q2_Adult,9,13)</f>
        <v>0</v>
      </c>
      <c r="Q13" s="242">
        <f>INDEX(Q2_Adult,9,15)</f>
        <v>0</v>
      </c>
      <c r="R13" s="239">
        <f t="shared" si="4"/>
        <v>0</v>
      </c>
      <c r="S13" s="240">
        <f>INDEX(Q2_Adult,9,16)</f>
        <v>0</v>
      </c>
      <c r="T13" s="239">
        <f t="shared" si="5"/>
        <v>0</v>
      </c>
      <c r="U13" s="243">
        <f>INDEX(Q2_Adult,9,17)</f>
        <v>0</v>
      </c>
      <c r="V13" s="239">
        <f t="shared" si="6"/>
        <v>0</v>
      </c>
      <c r="W13" s="240">
        <f>INDEX(Q2_Adult,9,18)</f>
        <v>0</v>
      </c>
      <c r="X13" s="239">
        <f t="shared" si="7"/>
        <v>0</v>
      </c>
      <c r="Y13" s="139">
        <f>INDEX(Q2_Adult,9,19)</f>
        <v>0</v>
      </c>
      <c r="Z13" s="85">
        <f>INDEX(Q2_Adult,9,21)</f>
        <v>0</v>
      </c>
      <c r="AA13" s="86">
        <f>INDEX(Q2_Adult,9,22)</f>
        <v>0</v>
      </c>
    </row>
    <row r="14" spans="1:28" s="13" customFormat="1" ht="21.75" customHeight="1" thickTop="1" thickBot="1" x14ac:dyDescent="0.4">
      <c r="B14" s="31" t="s">
        <v>202</v>
      </c>
      <c r="C14" s="31" t="s">
        <v>24</v>
      </c>
      <c r="D14" s="73">
        <v>3</v>
      </c>
      <c r="E14" s="31" t="s">
        <v>26</v>
      </c>
      <c r="F14" s="81">
        <f>INDEX(Q2_Adult,10,7)</f>
        <v>0</v>
      </c>
      <c r="G14" s="87">
        <f>INDEX(Q2_Adult,10,8)</f>
        <v>26</v>
      </c>
      <c r="H14" s="244">
        <f>INDEX(Q2_Adult,10,9)</f>
        <v>0</v>
      </c>
      <c r="I14" s="234">
        <f t="shared" si="0"/>
        <v>0</v>
      </c>
      <c r="J14" s="235">
        <f>INDEX(Q2_Adult,10,10)</f>
        <v>0</v>
      </c>
      <c r="K14" s="234">
        <f t="shared" si="1"/>
        <v>0</v>
      </c>
      <c r="L14" s="235">
        <f>INDEX(Q2_Adult,10,11)</f>
        <v>0</v>
      </c>
      <c r="M14" s="234">
        <f t="shared" si="2"/>
        <v>0</v>
      </c>
      <c r="N14" s="235">
        <f>INDEX(Q2_Adult,10,12)</f>
        <v>0</v>
      </c>
      <c r="O14" s="234">
        <f t="shared" si="3"/>
        <v>0</v>
      </c>
      <c r="P14" s="236">
        <f>INDEX(Q2_Adult,10,13)</f>
        <v>0</v>
      </c>
      <c r="Q14" s="233">
        <f>INDEX(Q2_Adult,10,15)</f>
        <v>31</v>
      </c>
      <c r="R14" s="234">
        <f t="shared" si="4"/>
        <v>0.20666666666666667</v>
      </c>
      <c r="S14" s="235">
        <f>INDEX(Q2_Adult,10,16)</f>
        <v>49</v>
      </c>
      <c r="T14" s="234">
        <f t="shared" si="5"/>
        <v>0.32666666666666666</v>
      </c>
      <c r="U14" s="237">
        <f>INDEX(Q2_Adult,10,17)</f>
        <v>59</v>
      </c>
      <c r="V14" s="234">
        <f t="shared" si="6"/>
        <v>0.39333333333333331</v>
      </c>
      <c r="W14" s="235">
        <f>INDEX(Q2_Adult,10,18)</f>
        <v>11</v>
      </c>
      <c r="X14" s="234">
        <f t="shared" si="7"/>
        <v>7.3333333333333334E-2</v>
      </c>
      <c r="Y14" s="138">
        <f>INDEX(Q2_Adult,10,19)</f>
        <v>150</v>
      </c>
      <c r="Z14" s="83">
        <f>INDEX(Q2_Adult,10,21)</f>
        <v>0</v>
      </c>
      <c r="AA14" s="84">
        <f>INDEX(Q2_Adult,10,22)</f>
        <v>0.1</v>
      </c>
    </row>
    <row r="15" spans="1:28" s="13" customFormat="1" ht="21.75" customHeight="1" thickTop="1" thickBot="1" x14ac:dyDescent="0.4">
      <c r="B15" s="32" t="s">
        <v>203</v>
      </c>
      <c r="C15" s="32" t="s">
        <v>24</v>
      </c>
      <c r="D15" s="74">
        <v>3</v>
      </c>
      <c r="E15" s="32" t="s">
        <v>26</v>
      </c>
      <c r="F15" s="82" t="str">
        <f>INDEX(Q2_Adult,11,7)</f>
        <v>No data</v>
      </c>
      <c r="G15" s="88" t="str">
        <f>INDEX(Q2_Adult,11,8)</f>
        <v>No data</v>
      </c>
      <c r="H15" s="238" t="str">
        <f>INDEX(Q2_Adult,11,9)</f>
        <v>No data</v>
      </c>
      <c r="I15" s="239">
        <f t="shared" si="0"/>
        <v>0</v>
      </c>
      <c r="J15" s="240" t="str">
        <f>INDEX(Q2_Adult,11,10)</f>
        <v>No data</v>
      </c>
      <c r="K15" s="239">
        <f t="shared" si="1"/>
        <v>0</v>
      </c>
      <c r="L15" s="240" t="str">
        <f>INDEX(Q2_Adult,11,11)</f>
        <v>No data</v>
      </c>
      <c r="M15" s="239">
        <f t="shared" si="2"/>
        <v>0</v>
      </c>
      <c r="N15" s="240" t="str">
        <f>INDEX(Q2_Adult,11,12)</f>
        <v>No data</v>
      </c>
      <c r="O15" s="239">
        <f t="shared" si="3"/>
        <v>0</v>
      </c>
      <c r="P15" s="241" t="str">
        <f>INDEX(Q2_Adult,11,13)</f>
        <v>No data</v>
      </c>
      <c r="Q15" s="242" t="str">
        <f>INDEX(Q2_Adult,11,15)</f>
        <v>No data</v>
      </c>
      <c r="R15" s="239">
        <f t="shared" si="4"/>
        <v>0</v>
      </c>
      <c r="S15" s="240" t="str">
        <f>INDEX(Q2_Adult,11,16)</f>
        <v>No data</v>
      </c>
      <c r="T15" s="239">
        <f t="shared" si="5"/>
        <v>0</v>
      </c>
      <c r="U15" s="243" t="str">
        <f>INDEX(Q2_Adult,11,17)</f>
        <v>No data</v>
      </c>
      <c r="V15" s="239">
        <f t="shared" si="6"/>
        <v>0</v>
      </c>
      <c r="W15" s="240" t="str">
        <f>INDEX(Q2_Adult,11,18)</f>
        <v>No data</v>
      </c>
      <c r="X15" s="239">
        <f t="shared" si="7"/>
        <v>0</v>
      </c>
      <c r="Y15" s="139" t="str">
        <f>INDEX(Q2_Adult,11,19)</f>
        <v>No data</v>
      </c>
      <c r="Z15" s="85" t="str">
        <f>INDEX(Q2_Adult,11,21)</f>
        <v>No data</v>
      </c>
      <c r="AA15" s="86" t="str">
        <f>INDEX(Q2_Adult,11,22)</f>
        <v>No data</v>
      </c>
    </row>
    <row r="16" spans="1:28" s="13" customFormat="1" ht="21.75" customHeight="1" thickTop="1" thickBot="1" x14ac:dyDescent="0.4">
      <c r="B16" s="31" t="s">
        <v>200</v>
      </c>
      <c r="C16" s="31" t="s">
        <v>24</v>
      </c>
      <c r="D16" s="73">
        <v>3</v>
      </c>
      <c r="E16" s="31" t="s">
        <v>26</v>
      </c>
      <c r="F16" s="81">
        <f>INDEX(Q2_Adult,12,7)</f>
        <v>110</v>
      </c>
      <c r="G16" s="87">
        <f>INDEX(Q2_Adult,12,8)</f>
        <v>0</v>
      </c>
      <c r="H16" s="244">
        <f>INDEX(Q2_Adult,12,9)</f>
        <v>9</v>
      </c>
      <c r="I16" s="234">
        <f t="shared" si="0"/>
        <v>6.7669172932330823E-2</v>
      </c>
      <c r="J16" s="235">
        <f>INDEX(Q2_Adult,12,10)</f>
        <v>0</v>
      </c>
      <c r="K16" s="234">
        <f t="shared" si="1"/>
        <v>0</v>
      </c>
      <c r="L16" s="235">
        <f>INDEX(Q2_Adult,12,11)</f>
        <v>0</v>
      </c>
      <c r="M16" s="234">
        <f t="shared" si="2"/>
        <v>0</v>
      </c>
      <c r="N16" s="235">
        <f>INDEX(Q2_Adult,12,12)</f>
        <v>124</v>
      </c>
      <c r="O16" s="234">
        <f t="shared" si="3"/>
        <v>0.93233082706766912</v>
      </c>
      <c r="P16" s="236">
        <f>INDEX(Q2_Adult,12,13)</f>
        <v>133</v>
      </c>
      <c r="Q16" s="233">
        <f>INDEX(Q2_Adult,12,15)</f>
        <v>0</v>
      </c>
      <c r="R16" s="234">
        <f t="shared" si="4"/>
        <v>0</v>
      </c>
      <c r="S16" s="235">
        <f>INDEX(Q2_Adult,12,16)</f>
        <v>0</v>
      </c>
      <c r="T16" s="234">
        <f t="shared" si="5"/>
        <v>0</v>
      </c>
      <c r="U16" s="237">
        <f>INDEX(Q2_Adult,12,17)</f>
        <v>0</v>
      </c>
      <c r="V16" s="234">
        <f t="shared" si="6"/>
        <v>0</v>
      </c>
      <c r="W16" s="235">
        <f>INDEX(Q2_Adult,12,18)</f>
        <v>0</v>
      </c>
      <c r="X16" s="234">
        <f t="shared" si="7"/>
        <v>0</v>
      </c>
      <c r="Y16" s="138">
        <f>INDEX(Q2_Adult,12,19)</f>
        <v>0</v>
      </c>
      <c r="Z16" s="83">
        <f>INDEX(Q2_Adult,12,21)</f>
        <v>0</v>
      </c>
      <c r="AA16" s="84">
        <f>INDEX(Q2_Adult,12,22)</f>
        <v>0</v>
      </c>
    </row>
    <row r="17" spans="2:27" s="13" customFormat="1" ht="21.75" customHeight="1" thickTop="1" thickBot="1" x14ac:dyDescent="0.4">
      <c r="B17" s="32" t="s">
        <v>82</v>
      </c>
      <c r="C17" s="32" t="s">
        <v>24</v>
      </c>
      <c r="D17" s="74">
        <v>3</v>
      </c>
      <c r="E17" s="32" t="s">
        <v>25</v>
      </c>
      <c r="F17" s="82">
        <f>INDEX(Q2_Adult,13,7)</f>
        <v>0</v>
      </c>
      <c r="G17" s="88">
        <f>INDEX(Q2_Adult,13,8)</f>
        <v>0</v>
      </c>
      <c r="H17" s="238">
        <f>INDEX(Q2_Adult,13,9)</f>
        <v>9</v>
      </c>
      <c r="I17" s="239">
        <f t="shared" si="0"/>
        <v>0.140625</v>
      </c>
      <c r="J17" s="240">
        <f>INDEX(Q2_Adult,13,10)</f>
        <v>30</v>
      </c>
      <c r="K17" s="239">
        <f t="shared" si="1"/>
        <v>0.46875</v>
      </c>
      <c r="L17" s="240">
        <f>INDEX(Q2_Adult,13,11)</f>
        <v>22</v>
      </c>
      <c r="M17" s="239">
        <f t="shared" si="2"/>
        <v>0.34375</v>
      </c>
      <c r="N17" s="240">
        <f>INDEX(Q2_Adult,13,12)</f>
        <v>3</v>
      </c>
      <c r="O17" s="239">
        <f t="shared" si="3"/>
        <v>4.6875E-2</v>
      </c>
      <c r="P17" s="241">
        <f>INDEX(Q2_Adult,13,13)</f>
        <v>64</v>
      </c>
      <c r="Q17" s="242">
        <f>INDEX(Q2_Adult,13,15)</f>
        <v>9</v>
      </c>
      <c r="R17" s="239">
        <f t="shared" si="4"/>
        <v>0.140625</v>
      </c>
      <c r="S17" s="240">
        <f>INDEX(Q2_Adult,13,16)</f>
        <v>30</v>
      </c>
      <c r="T17" s="239">
        <f t="shared" si="5"/>
        <v>0.46875</v>
      </c>
      <c r="U17" s="243">
        <f>INDEX(Q2_Adult,13,17)</f>
        <v>22</v>
      </c>
      <c r="V17" s="239">
        <f t="shared" si="6"/>
        <v>0.34375</v>
      </c>
      <c r="W17" s="240">
        <f>INDEX(Q2_Adult,13,18)</f>
        <v>3</v>
      </c>
      <c r="X17" s="239">
        <f t="shared" si="7"/>
        <v>4.6875E-2</v>
      </c>
      <c r="Y17" s="139">
        <f>INDEX(Q2_Adult,13,19)</f>
        <v>64</v>
      </c>
      <c r="Z17" s="85">
        <f>INDEX(Q2_Adult,13,21)</f>
        <v>0.02</v>
      </c>
      <c r="AA17" s="86">
        <f>INDEX(Q2_Adult,13,22)</f>
        <v>0.02</v>
      </c>
    </row>
    <row r="18" spans="2:27" s="13" customFormat="1" ht="21.75" customHeight="1" thickTop="1" thickBot="1" x14ac:dyDescent="0.4">
      <c r="B18" s="31" t="s">
        <v>83</v>
      </c>
      <c r="C18" s="31" t="s">
        <v>24</v>
      </c>
      <c r="D18" s="73">
        <v>3</v>
      </c>
      <c r="E18" s="31" t="s">
        <v>25</v>
      </c>
      <c r="F18" s="81" t="str">
        <f>INDEX(Q2_Adult,14,7)</f>
        <v>No data</v>
      </c>
      <c r="G18" s="87" t="str">
        <f>INDEX(Q2_Adult,14,8)</f>
        <v>No data</v>
      </c>
      <c r="H18" s="244" t="str">
        <f>INDEX(Q2_Adult,14,9)</f>
        <v>No data</v>
      </c>
      <c r="I18" s="234">
        <f t="shared" si="0"/>
        <v>0</v>
      </c>
      <c r="J18" s="235" t="str">
        <f>INDEX(Q2_Adult,14,10)</f>
        <v>No data</v>
      </c>
      <c r="K18" s="234">
        <f t="shared" si="1"/>
        <v>0</v>
      </c>
      <c r="L18" s="235" t="str">
        <f>INDEX(Q2_Adult,14,11)</f>
        <v>No data</v>
      </c>
      <c r="M18" s="234">
        <f t="shared" si="2"/>
        <v>0</v>
      </c>
      <c r="N18" s="235" t="str">
        <f>INDEX(Q2_Adult,14,12)</f>
        <v>No data</v>
      </c>
      <c r="O18" s="234">
        <f t="shared" si="3"/>
        <v>0</v>
      </c>
      <c r="P18" s="236" t="str">
        <f>INDEX(Q2_Adult,14,13)</f>
        <v>No data</v>
      </c>
      <c r="Q18" s="233" t="str">
        <f>INDEX(Q2_Adult,14,15)</f>
        <v>No data</v>
      </c>
      <c r="R18" s="234">
        <f t="shared" si="4"/>
        <v>0</v>
      </c>
      <c r="S18" s="235" t="str">
        <f>INDEX(Q2_Adult,14,16)</f>
        <v>No data</v>
      </c>
      <c r="T18" s="234">
        <f t="shared" si="5"/>
        <v>0</v>
      </c>
      <c r="U18" s="237" t="str">
        <f>INDEX(Q2_Adult,14,17)</f>
        <v>No data</v>
      </c>
      <c r="V18" s="234">
        <f t="shared" si="6"/>
        <v>0</v>
      </c>
      <c r="W18" s="235" t="str">
        <f>INDEX(Q2_Adult,14,18)</f>
        <v>No data</v>
      </c>
      <c r="X18" s="234">
        <f t="shared" si="7"/>
        <v>0</v>
      </c>
      <c r="Y18" s="138" t="str">
        <f>INDEX(Q2_Adult,14,19)</f>
        <v>No data</v>
      </c>
      <c r="Z18" s="83" t="str">
        <f>INDEX(Q2_Adult,14,21)</f>
        <v>No data</v>
      </c>
      <c r="AA18" s="84" t="str">
        <f>INDEX(Q2_Adult,14,22)</f>
        <v>No data</v>
      </c>
    </row>
    <row r="19" spans="2:27" s="13" customFormat="1" ht="21.75" customHeight="1" thickTop="1" thickBot="1" x14ac:dyDescent="0.4">
      <c r="B19" s="32" t="s">
        <v>84</v>
      </c>
      <c r="C19" s="32" t="s">
        <v>24</v>
      </c>
      <c r="D19" s="74">
        <v>3</v>
      </c>
      <c r="E19" s="32" t="s">
        <v>25</v>
      </c>
      <c r="F19" s="82" t="str">
        <f>INDEX(Q2_Adult,16,7)</f>
        <v>No data</v>
      </c>
      <c r="G19" s="88" t="str">
        <f>INDEX(Q2_Adult,16,8)</f>
        <v>No data</v>
      </c>
      <c r="H19" s="238" t="str">
        <f>INDEX(Q2_Adult,16,9)</f>
        <v>No data</v>
      </c>
      <c r="I19" s="239">
        <f t="shared" si="0"/>
        <v>0</v>
      </c>
      <c r="J19" s="240" t="str">
        <f>INDEX(Q2_Adult,16,10)</f>
        <v>No data</v>
      </c>
      <c r="K19" s="239">
        <f t="shared" si="1"/>
        <v>0</v>
      </c>
      <c r="L19" s="240" t="str">
        <f>INDEX(Q2_Adult,16,11)</f>
        <v>No data</v>
      </c>
      <c r="M19" s="239">
        <f t="shared" si="2"/>
        <v>0</v>
      </c>
      <c r="N19" s="240" t="str">
        <f>INDEX(Q2_Adult,16,12)</f>
        <v>No data</v>
      </c>
      <c r="O19" s="239">
        <f t="shared" si="3"/>
        <v>0</v>
      </c>
      <c r="P19" s="241" t="str">
        <f>INDEX(Q2_Adult,16,13)</f>
        <v>No data</v>
      </c>
      <c r="Q19" s="242" t="str">
        <f>INDEX(Q2_Adult,16,15)</f>
        <v>No data</v>
      </c>
      <c r="R19" s="239">
        <f t="shared" si="4"/>
        <v>0</v>
      </c>
      <c r="S19" s="240" t="str">
        <f>INDEX(Q2_Adult,16,16)</f>
        <v>No data</v>
      </c>
      <c r="T19" s="239">
        <f t="shared" si="5"/>
        <v>0</v>
      </c>
      <c r="U19" s="243" t="str">
        <f>INDEX(Q2_Adult,16,17)</f>
        <v>No data</v>
      </c>
      <c r="V19" s="239">
        <f t="shared" si="6"/>
        <v>0</v>
      </c>
      <c r="W19" s="240" t="str">
        <f>INDEX(Q2_Adult,16,18)</f>
        <v>No data</v>
      </c>
      <c r="X19" s="239">
        <f t="shared" si="7"/>
        <v>0</v>
      </c>
      <c r="Y19" s="139" t="str">
        <f>INDEX(Q2_Adult,16,19)</f>
        <v>No data</v>
      </c>
      <c r="Z19" s="85" t="str">
        <f>INDEX(Q2_Adult,16,21)</f>
        <v>No data</v>
      </c>
      <c r="AA19" s="86" t="str">
        <f>INDEX(Q2_Adult,16,22)</f>
        <v>No data</v>
      </c>
    </row>
    <row r="20" spans="2:27" s="13" customFormat="1" ht="21.75" customHeight="1" thickTop="1" thickBot="1" x14ac:dyDescent="0.4">
      <c r="B20" s="31" t="s">
        <v>74</v>
      </c>
      <c r="C20" s="31" t="s">
        <v>24</v>
      </c>
      <c r="D20" s="73">
        <v>3</v>
      </c>
      <c r="E20" s="31" t="s">
        <v>25</v>
      </c>
      <c r="F20" s="81">
        <f>INDEX(Q2_Adult,17,7)</f>
        <v>7</v>
      </c>
      <c r="G20" s="87">
        <f>INDEX(Q2_Adult,17,8)</f>
        <v>7</v>
      </c>
      <c r="H20" s="244">
        <f>INDEX(Q2_Adult,17,9)</f>
        <v>0</v>
      </c>
      <c r="I20" s="234">
        <f t="shared" si="0"/>
        <v>0</v>
      </c>
      <c r="J20" s="235">
        <f>INDEX(Q2_Adult,17,10)</f>
        <v>1</v>
      </c>
      <c r="K20" s="234">
        <f t="shared" si="1"/>
        <v>1.5873015873015872E-2</v>
      </c>
      <c r="L20" s="235">
        <f>INDEX(Q2_Adult,17,11)</f>
        <v>62</v>
      </c>
      <c r="M20" s="234">
        <f t="shared" si="2"/>
        <v>0.98412698412698407</v>
      </c>
      <c r="N20" s="235">
        <f>INDEX(Q2_Adult,17,12)</f>
        <v>0</v>
      </c>
      <c r="O20" s="234">
        <f t="shared" si="3"/>
        <v>0</v>
      </c>
      <c r="P20" s="236">
        <f>INDEX(Q2_Adult,17,13)</f>
        <v>63</v>
      </c>
      <c r="Q20" s="233">
        <f>INDEX(Q2_Adult,17,15)</f>
        <v>0</v>
      </c>
      <c r="R20" s="234">
        <f t="shared" si="4"/>
        <v>0</v>
      </c>
      <c r="S20" s="235">
        <f>INDEX(Q2_Adult,17,16)</f>
        <v>1</v>
      </c>
      <c r="T20" s="234">
        <f t="shared" si="5"/>
        <v>1.5873015873015872E-2</v>
      </c>
      <c r="U20" s="237">
        <f>INDEX(Q2_Adult,17,17)</f>
        <v>62</v>
      </c>
      <c r="V20" s="234">
        <f t="shared" si="6"/>
        <v>0.98412698412698407</v>
      </c>
      <c r="W20" s="235">
        <f>INDEX(Q2_Adult,17,18)</f>
        <v>0</v>
      </c>
      <c r="X20" s="234">
        <f t="shared" si="7"/>
        <v>0</v>
      </c>
      <c r="Y20" s="138">
        <f>INDEX(Q2_Adult,17,19)</f>
        <v>63</v>
      </c>
      <c r="Z20" s="83">
        <f>INDEX(Q2_Adult,17,21)</f>
        <v>0.16</v>
      </c>
      <c r="AA20" s="84">
        <f>INDEX(Q2_Adult,17,22)</f>
        <v>0.16</v>
      </c>
    </row>
    <row r="21" spans="2:27" s="13" customFormat="1" ht="21.75" customHeight="1" thickTop="1" thickBot="1" x14ac:dyDescent="0.4">
      <c r="B21" s="32" t="s">
        <v>86</v>
      </c>
      <c r="C21" s="32" t="s">
        <v>24</v>
      </c>
      <c r="D21" s="74">
        <v>3</v>
      </c>
      <c r="E21" s="32" t="s">
        <v>25</v>
      </c>
      <c r="F21" s="82">
        <f>INDEX(Q2_Adult,18,7)</f>
        <v>24</v>
      </c>
      <c r="G21" s="88">
        <f>INDEX(Q2_Adult,18,8)</f>
        <v>0</v>
      </c>
      <c r="H21" s="238">
        <f>INDEX(Q2_Adult,18,9)</f>
        <v>130</v>
      </c>
      <c r="I21" s="239">
        <f t="shared" si="0"/>
        <v>0.23679417122040072</v>
      </c>
      <c r="J21" s="240">
        <f>INDEX(Q2_Adult,18,10)</f>
        <v>191</v>
      </c>
      <c r="K21" s="239">
        <f t="shared" si="1"/>
        <v>0.34790528233151186</v>
      </c>
      <c r="L21" s="240">
        <f>INDEX(Q2_Adult,18,11)</f>
        <v>76</v>
      </c>
      <c r="M21" s="239">
        <f t="shared" si="2"/>
        <v>0.13843351548269581</v>
      </c>
      <c r="N21" s="240">
        <f>INDEX(Q2_Adult,18,12)</f>
        <v>282</v>
      </c>
      <c r="O21" s="239">
        <f t="shared" si="3"/>
        <v>0.51366120218579236</v>
      </c>
      <c r="P21" s="241">
        <f>INDEX(Q2_Adult,18,13)</f>
        <v>549</v>
      </c>
      <c r="Q21" s="242">
        <f>INDEX(Q2_Adult,18,15)</f>
        <v>0</v>
      </c>
      <c r="R21" s="239">
        <f t="shared" si="4"/>
        <v>0</v>
      </c>
      <c r="S21" s="240">
        <f>INDEX(Q2_Adult,18,16)</f>
        <v>0</v>
      </c>
      <c r="T21" s="239">
        <f t="shared" si="5"/>
        <v>0</v>
      </c>
      <c r="U21" s="243">
        <f>INDEX(Q2_Adult,18,17)</f>
        <v>0</v>
      </c>
      <c r="V21" s="239">
        <f t="shared" si="6"/>
        <v>0</v>
      </c>
      <c r="W21" s="240">
        <f>INDEX(Q2_Adult,18,18)</f>
        <v>0</v>
      </c>
      <c r="X21" s="239">
        <f t="shared" si="7"/>
        <v>0</v>
      </c>
      <c r="Y21" s="139">
        <f>INDEX(Q2_Adult,18,19)</f>
        <v>0</v>
      </c>
      <c r="Z21" s="85">
        <f>INDEX(Q2_Adult,18,21)</f>
        <v>0.03</v>
      </c>
      <c r="AA21" s="86">
        <f>INDEX(Q2_Adult,18,22)</f>
        <v>0</v>
      </c>
    </row>
    <row r="22" spans="2:27" s="13" customFormat="1" ht="21.75" customHeight="1" thickTop="1" thickBot="1" x14ac:dyDescent="0.4">
      <c r="B22" s="31" t="s">
        <v>60</v>
      </c>
      <c r="C22" s="31" t="s">
        <v>24</v>
      </c>
      <c r="D22" s="73">
        <v>3</v>
      </c>
      <c r="E22" s="31" t="s">
        <v>25</v>
      </c>
      <c r="F22" s="81" t="str">
        <f>INDEX(Q2_Adult,19,7)</f>
        <v>No data</v>
      </c>
      <c r="G22" s="87" t="str">
        <f>INDEX(Q2_Adult,19,8)</f>
        <v>No data</v>
      </c>
      <c r="H22" s="244" t="str">
        <f>INDEX(Q2_Adult,19,9)</f>
        <v>No data</v>
      </c>
      <c r="I22" s="234">
        <f t="shared" si="0"/>
        <v>0</v>
      </c>
      <c r="J22" s="235" t="str">
        <f>INDEX(Q2_Adult,19,10)</f>
        <v>No data</v>
      </c>
      <c r="K22" s="234">
        <f t="shared" si="1"/>
        <v>0</v>
      </c>
      <c r="L22" s="235" t="str">
        <f>INDEX(Q2_Adult,19,11)</f>
        <v>No data</v>
      </c>
      <c r="M22" s="234">
        <f t="shared" si="2"/>
        <v>0</v>
      </c>
      <c r="N22" s="235" t="str">
        <f>INDEX(Q2_Adult,19,12)</f>
        <v>No data</v>
      </c>
      <c r="O22" s="234">
        <f t="shared" si="3"/>
        <v>0</v>
      </c>
      <c r="P22" s="236" t="str">
        <f>INDEX(Q2_Adult,19,13)</f>
        <v>No data</v>
      </c>
      <c r="Q22" s="233" t="str">
        <f>INDEX(Q2_Adult,19,15)</f>
        <v>No data</v>
      </c>
      <c r="R22" s="234">
        <f t="shared" si="4"/>
        <v>0</v>
      </c>
      <c r="S22" s="235" t="str">
        <f>INDEX(Q2_Adult,19,16)</f>
        <v>No data</v>
      </c>
      <c r="T22" s="234">
        <f t="shared" si="5"/>
        <v>0</v>
      </c>
      <c r="U22" s="237" t="str">
        <f>INDEX(Q2_Adult,19,17)</f>
        <v>No data</v>
      </c>
      <c r="V22" s="234">
        <f t="shared" si="6"/>
        <v>0</v>
      </c>
      <c r="W22" s="235" t="str">
        <f>INDEX(Q2_Adult,19,18)</f>
        <v>No data</v>
      </c>
      <c r="X22" s="234">
        <f t="shared" si="7"/>
        <v>0</v>
      </c>
      <c r="Y22" s="138" t="str">
        <f>INDEX(Q2_Adult,19,19)</f>
        <v>No data</v>
      </c>
      <c r="Z22" s="83" t="str">
        <f>INDEX(Q2_Adult,19,21)</f>
        <v>No data</v>
      </c>
      <c r="AA22" s="84" t="str">
        <f>INDEX(Q2_Adult,19,22)</f>
        <v>No data</v>
      </c>
    </row>
    <row r="23" spans="2:27" s="13" customFormat="1" ht="21.75" customHeight="1" thickTop="1" thickBot="1" x14ac:dyDescent="0.4">
      <c r="B23" s="32" t="s">
        <v>75</v>
      </c>
      <c r="C23" s="32" t="s">
        <v>24</v>
      </c>
      <c r="D23" s="74">
        <v>3</v>
      </c>
      <c r="E23" s="32" t="s">
        <v>25</v>
      </c>
      <c r="F23" s="82">
        <f>INDEX(Q2_Adult,20,7)</f>
        <v>8</v>
      </c>
      <c r="G23" s="88">
        <f>INDEX(Q2_Adult,20,8)</f>
        <v>12</v>
      </c>
      <c r="H23" s="238">
        <f>INDEX(Q2_Adult,20,9)</f>
        <v>10</v>
      </c>
      <c r="I23" s="239">
        <f t="shared" si="0"/>
        <v>0.43478260869565216</v>
      </c>
      <c r="J23" s="240">
        <f>INDEX(Q2_Adult,20,10)</f>
        <v>13</v>
      </c>
      <c r="K23" s="239">
        <f t="shared" si="1"/>
        <v>0.56521739130434778</v>
      </c>
      <c r="L23" s="240">
        <f>INDEX(Q2_Adult,20,11)</f>
        <v>0</v>
      </c>
      <c r="M23" s="239">
        <f t="shared" si="2"/>
        <v>0</v>
      </c>
      <c r="N23" s="240">
        <f>INDEX(Q2_Adult,20,12)</f>
        <v>0</v>
      </c>
      <c r="O23" s="239">
        <f t="shared" si="3"/>
        <v>0</v>
      </c>
      <c r="P23" s="241">
        <f>INDEX(Q2_Adult,20,13)</f>
        <v>23</v>
      </c>
      <c r="Q23" s="242">
        <f>INDEX(Q2_Adult,20,15)</f>
        <v>11</v>
      </c>
      <c r="R23" s="239">
        <f t="shared" si="4"/>
        <v>0.33333333333333331</v>
      </c>
      <c r="S23" s="240">
        <f>INDEX(Q2_Adult,20,16)</f>
        <v>13</v>
      </c>
      <c r="T23" s="239">
        <f t="shared" si="5"/>
        <v>0.39393939393939392</v>
      </c>
      <c r="U23" s="243">
        <f>INDEX(Q2_Adult,20,17)</f>
        <v>9</v>
      </c>
      <c r="V23" s="239">
        <f t="shared" si="6"/>
        <v>0.27272727272727271</v>
      </c>
      <c r="W23" s="240">
        <f>INDEX(Q2_Adult,20,18)</f>
        <v>0</v>
      </c>
      <c r="X23" s="239">
        <f t="shared" si="7"/>
        <v>0</v>
      </c>
      <c r="Y23" s="139">
        <f>INDEX(Q2_Adult,20,19)</f>
        <v>33</v>
      </c>
      <c r="Z23" s="85">
        <f>INDEX(Q2_Adult,20,21)</f>
        <v>0.1</v>
      </c>
      <c r="AA23" s="86">
        <f>INDEX(Q2_Adult,20,22)</f>
        <v>0.13</v>
      </c>
    </row>
    <row r="24" spans="2:27" s="13" customFormat="1" ht="21.75" customHeight="1" thickTop="1" thickBot="1" x14ac:dyDescent="0.4">
      <c r="B24" s="31" t="s">
        <v>70</v>
      </c>
      <c r="C24" s="31" t="s">
        <v>24</v>
      </c>
      <c r="D24" s="73">
        <v>3</v>
      </c>
      <c r="E24" s="31" t="s">
        <v>25</v>
      </c>
      <c r="F24" s="81">
        <f>INDEX(Q2_Adult,21,7)</f>
        <v>0</v>
      </c>
      <c r="G24" s="87">
        <f>INDEX(Q2_Adult,21,8)</f>
        <v>47</v>
      </c>
      <c r="H24" s="244">
        <f>INDEX(Q2_Adult,21,9)</f>
        <v>3</v>
      </c>
      <c r="I24" s="234">
        <f t="shared" si="0"/>
        <v>9.6774193548387094E-2</v>
      </c>
      <c r="J24" s="235">
        <f>INDEX(Q2_Adult,21,10)</f>
        <v>18</v>
      </c>
      <c r="K24" s="234">
        <f t="shared" si="1"/>
        <v>0.58064516129032262</v>
      </c>
      <c r="L24" s="235">
        <f>INDEX(Q2_Adult,21,11)</f>
        <v>10</v>
      </c>
      <c r="M24" s="234">
        <f t="shared" si="2"/>
        <v>0.32258064516129031</v>
      </c>
      <c r="N24" s="235">
        <f>INDEX(Q2_Adult,21,12)</f>
        <v>0</v>
      </c>
      <c r="O24" s="234">
        <f t="shared" si="3"/>
        <v>0</v>
      </c>
      <c r="P24" s="236">
        <f>INDEX(Q2_Adult,21,13)</f>
        <v>31</v>
      </c>
      <c r="Q24" s="233">
        <f>INDEX(Q2_Adult,21,15)</f>
        <v>1</v>
      </c>
      <c r="R24" s="234">
        <f t="shared" si="4"/>
        <v>0.16666666666666666</v>
      </c>
      <c r="S24" s="235">
        <f>INDEX(Q2_Adult,21,16)</f>
        <v>4</v>
      </c>
      <c r="T24" s="234">
        <f t="shared" si="5"/>
        <v>0.66666666666666663</v>
      </c>
      <c r="U24" s="237">
        <f>INDEX(Q2_Adult,21,17)</f>
        <v>1</v>
      </c>
      <c r="V24" s="234">
        <f t="shared" si="6"/>
        <v>0.16666666666666666</v>
      </c>
      <c r="W24" s="235">
        <f>INDEX(Q2_Adult,21,18)</f>
        <v>0</v>
      </c>
      <c r="X24" s="234">
        <f t="shared" si="7"/>
        <v>0</v>
      </c>
      <c r="Y24" s="138">
        <f>INDEX(Q2_Adult,21,19)</f>
        <v>6</v>
      </c>
      <c r="Z24" s="83">
        <f>INDEX(Q2_Adult,21,21)</f>
        <v>0.25</v>
      </c>
      <c r="AA24" s="84">
        <f>INDEX(Q2_Adult,21,22)</f>
        <v>0</v>
      </c>
    </row>
    <row r="25" spans="2:27" s="13" customFormat="1" ht="21.75" customHeight="1" thickTop="1" thickBot="1" x14ac:dyDescent="0.4">
      <c r="B25" s="32" t="s">
        <v>87</v>
      </c>
      <c r="C25" s="32" t="s">
        <v>24</v>
      </c>
      <c r="D25" s="74">
        <v>3</v>
      </c>
      <c r="E25" s="32" t="s">
        <v>25</v>
      </c>
      <c r="F25" s="82">
        <f>INDEX(Q2_Adult,22,7)</f>
        <v>0</v>
      </c>
      <c r="G25" s="88">
        <f>INDEX(Q2_Adult,22,8)</f>
        <v>0</v>
      </c>
      <c r="H25" s="238">
        <f>INDEX(Q2_Adult,22,9)</f>
        <v>0</v>
      </c>
      <c r="I25" s="239">
        <f t="shared" si="0"/>
        <v>0</v>
      </c>
      <c r="J25" s="240">
        <f>INDEX(Q2_Adult,22,10)</f>
        <v>0</v>
      </c>
      <c r="K25" s="239">
        <f t="shared" si="1"/>
        <v>0</v>
      </c>
      <c r="L25" s="240">
        <f>INDEX(Q2_Adult,22,11)</f>
        <v>0</v>
      </c>
      <c r="M25" s="239">
        <f t="shared" si="2"/>
        <v>0</v>
      </c>
      <c r="N25" s="240">
        <f>INDEX(Q2_Adult,22,12)</f>
        <v>0</v>
      </c>
      <c r="O25" s="239">
        <f t="shared" si="3"/>
        <v>0</v>
      </c>
      <c r="P25" s="241">
        <f>INDEX(Q2_Adult,22,13)</f>
        <v>0</v>
      </c>
      <c r="Q25" s="242">
        <f>INDEX(Q2_Adult,22,15)</f>
        <v>0</v>
      </c>
      <c r="R25" s="239">
        <f t="shared" si="4"/>
        <v>0</v>
      </c>
      <c r="S25" s="240">
        <f>INDEX(Q2_Adult,22,16)</f>
        <v>0</v>
      </c>
      <c r="T25" s="239">
        <f t="shared" si="5"/>
        <v>0</v>
      </c>
      <c r="U25" s="243">
        <f>INDEX(Q2_Adult,22,17)</f>
        <v>0</v>
      </c>
      <c r="V25" s="239">
        <f t="shared" si="6"/>
        <v>0</v>
      </c>
      <c r="W25" s="240">
        <f>INDEX(Q2_Adult,22,18)</f>
        <v>0</v>
      </c>
      <c r="X25" s="239">
        <f t="shared" si="7"/>
        <v>0</v>
      </c>
      <c r="Y25" s="139">
        <f>INDEX(Q2_Adult,22,19)</f>
        <v>0</v>
      </c>
      <c r="Z25" s="85">
        <f>INDEX(Q2_Adult,22,21)</f>
        <v>0</v>
      </c>
      <c r="AA25" s="86">
        <f>INDEX(Q2_Adult,22,22)</f>
        <v>0</v>
      </c>
    </row>
    <row r="26" spans="2:27" ht="15" thickTop="1" x14ac:dyDescent="0.35">
      <c r="B26" s="21"/>
      <c r="C26" s="21"/>
      <c r="D26" s="21"/>
      <c r="E26" s="21"/>
      <c r="F26" s="20"/>
      <c r="G26" s="20"/>
      <c r="H26" s="144"/>
      <c r="I26" s="20"/>
      <c r="J26" s="144"/>
      <c r="K26" s="20"/>
      <c r="L26" s="144"/>
      <c r="M26" s="20"/>
      <c r="N26" s="144"/>
      <c r="O26" s="20"/>
      <c r="P26" s="20"/>
      <c r="Q26" s="144"/>
      <c r="R26" s="20"/>
      <c r="S26" s="144"/>
      <c r="T26" s="20"/>
      <c r="U26" s="144"/>
      <c r="V26" s="20"/>
      <c r="W26" s="144"/>
      <c r="X26" s="20"/>
      <c r="Y26" s="20"/>
      <c r="Z26" s="20"/>
      <c r="AA26" s="20"/>
    </row>
    <row r="27" spans="2:27" ht="15" thickBot="1" x14ac:dyDescent="0.4">
      <c r="B27" s="21"/>
      <c r="C27" s="21"/>
      <c r="D27" s="21"/>
      <c r="E27" s="21"/>
      <c r="F27" s="20"/>
      <c r="G27" s="20"/>
      <c r="H27" s="144"/>
      <c r="I27" s="20"/>
      <c r="J27" s="144"/>
      <c r="K27" s="20"/>
      <c r="L27" s="144"/>
      <c r="M27" s="20"/>
      <c r="N27" s="144"/>
      <c r="O27" s="20"/>
      <c r="P27" s="20"/>
      <c r="Q27" s="144"/>
      <c r="R27" s="20"/>
      <c r="S27" s="144"/>
      <c r="T27" s="20"/>
      <c r="U27" s="144"/>
      <c r="V27" s="20"/>
      <c r="W27" s="144"/>
      <c r="X27" s="20"/>
      <c r="Y27" s="20"/>
      <c r="Z27" s="20"/>
      <c r="AA27" s="20"/>
    </row>
    <row r="28" spans="2:27" ht="14.5" x14ac:dyDescent="0.35">
      <c r="B28" s="344" t="s">
        <v>112</v>
      </c>
      <c r="C28" s="345" t="s">
        <v>113</v>
      </c>
      <c r="D28" s="346"/>
      <c r="E28" s="347"/>
      <c r="F28" s="354" t="s">
        <v>104</v>
      </c>
      <c r="G28" s="355"/>
      <c r="H28" s="356"/>
      <c r="I28" s="357"/>
      <c r="J28" s="360" t="s">
        <v>110</v>
      </c>
      <c r="K28" s="361"/>
      <c r="L28" s="364" t="s">
        <v>110</v>
      </c>
      <c r="M28" s="365"/>
      <c r="N28" s="368" t="s">
        <v>110</v>
      </c>
      <c r="O28" s="369"/>
      <c r="P28" s="259"/>
      <c r="Q28" s="356"/>
      <c r="R28" s="357"/>
      <c r="S28" s="360" t="s">
        <v>110</v>
      </c>
      <c r="T28" s="361"/>
      <c r="U28" s="364" t="s">
        <v>110</v>
      </c>
      <c r="V28" s="365"/>
      <c r="W28" s="368" t="s">
        <v>110</v>
      </c>
      <c r="X28" s="369"/>
      <c r="Y28" s="153"/>
      <c r="Z28" s="380" t="s">
        <v>107</v>
      </c>
      <c r="AA28" s="355"/>
    </row>
    <row r="29" spans="2:27" ht="14.5" x14ac:dyDescent="0.35">
      <c r="B29" s="344"/>
      <c r="C29" s="348"/>
      <c r="D29" s="349"/>
      <c r="E29" s="350"/>
      <c r="F29" s="381" t="s">
        <v>105</v>
      </c>
      <c r="G29" s="382"/>
      <c r="H29" s="358"/>
      <c r="I29" s="359"/>
      <c r="J29" s="362"/>
      <c r="K29" s="363"/>
      <c r="L29" s="366"/>
      <c r="M29" s="367"/>
      <c r="N29" s="370"/>
      <c r="O29" s="371"/>
      <c r="P29" s="260"/>
      <c r="Q29" s="358"/>
      <c r="R29" s="359"/>
      <c r="S29" s="362"/>
      <c r="T29" s="363"/>
      <c r="U29" s="366"/>
      <c r="V29" s="367"/>
      <c r="W29" s="370"/>
      <c r="X29" s="371"/>
      <c r="Y29" s="154"/>
      <c r="Z29" s="383" t="s">
        <v>108</v>
      </c>
      <c r="AA29" s="382"/>
    </row>
    <row r="30" spans="2:27" ht="15" thickBot="1" x14ac:dyDescent="0.4">
      <c r="B30" s="344"/>
      <c r="C30" s="351"/>
      <c r="D30" s="352"/>
      <c r="E30" s="353"/>
      <c r="F30" s="376" t="s">
        <v>106</v>
      </c>
      <c r="G30" s="377"/>
      <c r="H30" s="378"/>
      <c r="I30" s="379"/>
      <c r="J30" s="384" t="s">
        <v>111</v>
      </c>
      <c r="K30" s="379"/>
      <c r="L30" s="384" t="s">
        <v>111</v>
      </c>
      <c r="M30" s="379"/>
      <c r="N30" s="384" t="s">
        <v>111</v>
      </c>
      <c r="O30" s="379"/>
      <c r="P30" s="261"/>
      <c r="Q30" s="378"/>
      <c r="R30" s="379"/>
      <c r="S30" s="384" t="s">
        <v>111</v>
      </c>
      <c r="T30" s="379"/>
      <c r="U30" s="384" t="s">
        <v>111</v>
      </c>
      <c r="V30" s="379"/>
      <c r="W30" s="384" t="s">
        <v>111</v>
      </c>
      <c r="X30" s="379"/>
      <c r="Y30" s="140"/>
      <c r="Z30" s="385" t="s">
        <v>109</v>
      </c>
      <c r="AA30" s="377"/>
    </row>
    <row r="31" spans="2:27" ht="14.5" x14ac:dyDescent="0.35">
      <c r="B31" s="22"/>
      <c r="C31" s="22"/>
      <c r="D31" s="22"/>
      <c r="E31" s="22"/>
      <c r="F31" s="23"/>
      <c r="G31" s="23"/>
      <c r="H31" s="145"/>
      <c r="I31" s="23"/>
      <c r="J31" s="145"/>
      <c r="K31" s="23"/>
      <c r="L31" s="145"/>
      <c r="M31" s="23"/>
      <c r="N31" s="145"/>
      <c r="O31" s="23"/>
      <c r="P31" s="23"/>
      <c r="Q31" s="145"/>
      <c r="R31" s="23"/>
      <c r="S31" s="145"/>
      <c r="T31" s="23"/>
      <c r="U31" s="145"/>
      <c r="V31" s="23"/>
      <c r="W31" s="145"/>
      <c r="X31" s="23"/>
      <c r="Y31" s="23"/>
      <c r="Z31" s="23"/>
      <c r="AA31" s="24"/>
    </row>
    <row r="32" spans="2:27" ht="14.5" x14ac:dyDescent="0.35">
      <c r="B32" s="20"/>
      <c r="C32" s="20"/>
      <c r="D32" s="20"/>
      <c r="E32" s="20"/>
      <c r="F32" s="25">
        <v>10</v>
      </c>
      <c r="G32" s="25">
        <v>10</v>
      </c>
      <c r="H32" s="146">
        <v>10</v>
      </c>
      <c r="I32" s="25"/>
      <c r="J32" s="146">
        <v>10</v>
      </c>
      <c r="K32" s="25">
        <v>10</v>
      </c>
      <c r="L32" s="146">
        <v>10</v>
      </c>
      <c r="M32" s="25"/>
      <c r="N32" s="146"/>
      <c r="O32" s="25"/>
      <c r="P32" s="25"/>
      <c r="Q32" s="146"/>
      <c r="R32" s="25"/>
      <c r="S32" s="146"/>
      <c r="T32" s="25"/>
      <c r="U32" s="146"/>
      <c r="V32" s="25"/>
      <c r="W32" s="146"/>
      <c r="X32" s="25"/>
      <c r="Y32" s="25"/>
      <c r="Z32" s="25"/>
      <c r="AA32" s="20"/>
    </row>
    <row r="33" spans="2:27" ht="14.5" x14ac:dyDescent="0.35">
      <c r="B33" s="21" t="s">
        <v>19</v>
      </c>
      <c r="C33" s="21"/>
      <c r="D33" s="21"/>
      <c r="E33" s="21"/>
      <c r="F33" s="26"/>
      <c r="G33" s="20"/>
      <c r="H33" s="144"/>
      <c r="I33" s="20"/>
      <c r="J33" s="144"/>
      <c r="K33" s="20"/>
      <c r="L33" s="144"/>
      <c r="M33" s="20"/>
      <c r="N33" s="144"/>
      <c r="O33" s="20"/>
      <c r="P33" s="20"/>
      <c r="Q33" s="144"/>
      <c r="R33" s="20"/>
      <c r="S33" s="144"/>
      <c r="T33" s="20"/>
      <c r="U33" s="144"/>
      <c r="V33" s="20"/>
      <c r="W33" s="144"/>
      <c r="X33" s="20"/>
      <c r="Y33" s="20"/>
      <c r="Z33" s="20"/>
      <c r="AA33" s="20"/>
    </row>
    <row r="34" spans="2:27" ht="14.5" x14ac:dyDescent="0.35">
      <c r="B34" s="27" t="s">
        <v>20</v>
      </c>
      <c r="C34" s="27"/>
      <c r="D34" s="27"/>
      <c r="E34" s="27"/>
      <c r="F34" s="20"/>
      <c r="G34" s="20"/>
      <c r="H34" s="144"/>
      <c r="I34" s="20"/>
      <c r="J34" s="144"/>
      <c r="K34" s="20"/>
      <c r="L34" s="144"/>
      <c r="M34" s="20"/>
      <c r="N34" s="144"/>
      <c r="O34" s="20"/>
      <c r="P34" s="20"/>
      <c r="Q34" s="144"/>
      <c r="R34" s="20"/>
      <c r="S34" s="144"/>
      <c r="T34" s="20"/>
      <c r="U34" s="144"/>
      <c r="V34" s="20"/>
      <c r="W34" s="144"/>
      <c r="X34" s="20"/>
      <c r="Y34" s="20"/>
      <c r="Z34" s="20"/>
      <c r="AA34" s="20"/>
    </row>
    <row r="35" spans="2:27" ht="14.5" x14ac:dyDescent="0.35">
      <c r="B35" s="28"/>
      <c r="C35" s="28"/>
      <c r="D35" s="28"/>
      <c r="E35" s="28"/>
      <c r="F35" s="20"/>
      <c r="G35" s="20"/>
      <c r="H35" s="144"/>
      <c r="I35" s="20"/>
      <c r="J35" s="144"/>
      <c r="K35" s="20"/>
      <c r="L35" s="144"/>
      <c r="M35" s="20"/>
      <c r="N35" s="144"/>
      <c r="O35" s="20"/>
      <c r="P35" s="20"/>
      <c r="Q35" s="144"/>
      <c r="R35" s="20"/>
      <c r="S35" s="144"/>
      <c r="T35" s="20"/>
      <c r="U35" s="144"/>
      <c r="V35" s="20"/>
      <c r="W35" s="144"/>
      <c r="X35" s="20"/>
      <c r="Y35" s="20"/>
      <c r="Z35" s="20"/>
      <c r="AA35" s="20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sheetProtection algorithmName="SHA-512" hashValue="sHasmKyZ5VrcTtnVPlSF7nFMBUwRZeS5ceJvfqhR9aaeEtlJnkBo6Un9Gvz+TAmpk2en6wfw3Xod0lBpuIUjRA==" saltValue="1Eq+VoJqwPopgoi3+ZHArg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9">
    <cfRule type="containsText" dxfId="172" priority="28" operator="containsText" text="N/A">
      <formula>NOT(ISERROR(SEARCH("N/A",F8)))</formula>
    </cfRule>
    <cfRule type="cellIs" dxfId="171" priority="35" operator="between">
      <formula>0.01</formula>
      <formula>13</formula>
    </cfRule>
    <cfRule type="cellIs" dxfId="170" priority="36" operator="between">
      <formula>13</formula>
      <formula>18</formula>
    </cfRule>
    <cfRule type="cellIs" dxfId="169" priority="37" operator="greaterThan">
      <formula>18</formula>
    </cfRule>
    <cfRule type="cellIs" dxfId="168" priority="38" operator="greaterThan">
      <formula>18</formula>
    </cfRule>
  </conditionalFormatting>
  <conditionalFormatting sqref="T8:T9 K8:K9">
    <cfRule type="cellIs" dxfId="167" priority="34" operator="greaterThan">
      <formula>0.5</formula>
    </cfRule>
  </conditionalFormatting>
  <conditionalFormatting sqref="M8:M9 V8:V9">
    <cfRule type="cellIs" dxfId="166" priority="33" operator="greaterThan">
      <formula>0.49</formula>
    </cfRule>
  </conditionalFormatting>
  <conditionalFormatting sqref="X8:X9 O8:O9">
    <cfRule type="cellIs" dxfId="165" priority="32" operator="greaterThan">
      <formula>0.5</formula>
    </cfRule>
  </conditionalFormatting>
  <conditionalFormatting sqref="Z8:AA9">
    <cfRule type="cellIs" dxfId="164" priority="29" operator="between">
      <formula>0.0001</formula>
      <formula>0.1</formula>
    </cfRule>
    <cfRule type="cellIs" dxfId="163" priority="30" operator="between">
      <formula>0.1</formula>
      <formula>0.19</formula>
    </cfRule>
    <cfRule type="cellIs" dxfId="162" priority="31" operator="greaterThan">
      <formula>0.2</formula>
    </cfRule>
  </conditionalFormatting>
  <conditionalFormatting sqref="J8:J9">
    <cfRule type="expression" dxfId="161" priority="27">
      <formula>($J8/$P8*100)&gt;49.49</formula>
    </cfRule>
  </conditionalFormatting>
  <conditionalFormatting sqref="L8:L9">
    <cfRule type="expression" dxfId="160" priority="26">
      <formula>($L8/$P8*100)&gt;49.49</formula>
    </cfRule>
  </conditionalFormatting>
  <conditionalFormatting sqref="N8:N9">
    <cfRule type="expression" dxfId="159" priority="25">
      <formula>($N8/$P8*100)&gt;49.49</formula>
    </cfRule>
  </conditionalFormatting>
  <conditionalFormatting sqref="S8:S9">
    <cfRule type="expression" dxfId="158" priority="24">
      <formula>($S8/$Y8*100)&gt;49.49</formula>
    </cfRule>
  </conditionalFormatting>
  <conditionalFormatting sqref="U8:U9">
    <cfRule type="expression" dxfId="157" priority="23">
      <formula>($U8/$Y8*100)&gt;49.49</formula>
    </cfRule>
  </conditionalFormatting>
  <conditionalFormatting sqref="W8:W9">
    <cfRule type="expression" dxfId="156" priority="22">
      <formula>($W8/$Y8*100)&gt;49.49</formula>
    </cfRule>
  </conditionalFormatting>
  <conditionalFormatting sqref="L9">
    <cfRule type="expression" dxfId="155" priority="21">
      <formula>"$M$9=&gt;.499"</formula>
    </cfRule>
  </conditionalFormatting>
  <conditionalFormatting sqref="F8:AA9">
    <cfRule type="expression" dxfId="154" priority="20">
      <formula>$F8="No data"</formula>
    </cfRule>
  </conditionalFormatting>
  <conditionalFormatting sqref="F10:G25">
    <cfRule type="containsText" dxfId="153" priority="9" operator="containsText" text="N/A">
      <formula>NOT(ISERROR(SEARCH("N/A",F10)))</formula>
    </cfRule>
    <cfRule type="cellIs" dxfId="152" priority="16" operator="between">
      <formula>0.01</formula>
      <formula>13</formula>
    </cfRule>
    <cfRule type="cellIs" dxfId="151" priority="17" operator="between">
      <formula>13</formula>
      <formula>18</formula>
    </cfRule>
    <cfRule type="cellIs" dxfId="150" priority="18" operator="greaterThan">
      <formula>18</formula>
    </cfRule>
    <cfRule type="cellIs" dxfId="149" priority="19" operator="greaterThan">
      <formula>18</formula>
    </cfRule>
  </conditionalFormatting>
  <conditionalFormatting sqref="T10:T25 K10:K25">
    <cfRule type="cellIs" dxfId="148" priority="15" operator="greaterThan">
      <formula>0.5</formula>
    </cfRule>
  </conditionalFormatting>
  <conditionalFormatting sqref="M10:M25 V10:V25">
    <cfRule type="cellIs" dxfId="147" priority="14" operator="greaterThan">
      <formula>0.49</formula>
    </cfRule>
  </conditionalFormatting>
  <conditionalFormatting sqref="X10:X25 O10:O25">
    <cfRule type="cellIs" dxfId="146" priority="13" operator="greaterThan">
      <formula>0.5</formula>
    </cfRule>
  </conditionalFormatting>
  <conditionalFormatting sqref="Z10:AA25">
    <cfRule type="cellIs" dxfId="145" priority="10" operator="between">
      <formula>0.0001</formula>
      <formula>0.1</formula>
    </cfRule>
    <cfRule type="cellIs" dxfId="144" priority="11" operator="between">
      <formula>0.1</formula>
      <formula>0.19</formula>
    </cfRule>
    <cfRule type="cellIs" dxfId="143" priority="12" operator="greaterThan">
      <formula>0.2</formula>
    </cfRule>
  </conditionalFormatting>
  <conditionalFormatting sqref="J10:J25">
    <cfRule type="expression" dxfId="142" priority="8">
      <formula>($J10/$P10*100)&gt;49.49</formula>
    </cfRule>
  </conditionalFormatting>
  <conditionalFormatting sqref="L10:L25">
    <cfRule type="expression" dxfId="141" priority="7">
      <formula>($L10/$P10*100)&gt;49.49</formula>
    </cfRule>
  </conditionalFormatting>
  <conditionalFormatting sqref="N10:N25">
    <cfRule type="expression" dxfId="140" priority="6">
      <formula>($N10/$P10*100)&gt;49.49</formula>
    </cfRule>
  </conditionalFormatting>
  <conditionalFormatting sqref="S10:S25">
    <cfRule type="expression" dxfId="139" priority="5">
      <formula>($S10/$Y10*100)&gt;49.49</formula>
    </cfRule>
  </conditionalFormatting>
  <conditionalFormatting sqref="U10:U25">
    <cfRule type="expression" dxfId="138" priority="4">
      <formula>($U10/$Y10*100)&gt;49.49</formula>
    </cfRule>
  </conditionalFormatting>
  <conditionalFormatting sqref="W10:W25">
    <cfRule type="expression" dxfId="137" priority="3">
      <formula>($W10/$Y10*100)&gt;49.49</formula>
    </cfRule>
  </conditionalFormatting>
  <conditionalFormatting sqref="L11 L13 L15 L17 L19 L21 L23 L25">
    <cfRule type="expression" dxfId="136" priority="2">
      <formula>"$M$9=&gt;.499"</formula>
    </cfRule>
  </conditionalFormatting>
  <conditionalFormatting sqref="F10:AA25">
    <cfRule type="expression" dxfId="135" priority="1">
      <formula>$F10="No data"</formula>
    </cfRule>
  </conditionalFormatting>
  <hyperlinks>
    <hyperlink ref="C28:E30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5"/>
  <cols>
    <col min="1" max="1" width="4" style="39" customWidth="1"/>
    <col min="2" max="2" width="59.7265625" style="39" customWidth="1"/>
    <col min="3" max="3" width="11.7265625" style="39" customWidth="1"/>
    <col min="4" max="4" width="7.7265625" style="39" customWidth="1"/>
    <col min="5" max="5" width="10" style="39" customWidth="1"/>
    <col min="6" max="7" width="12" style="39" customWidth="1"/>
    <col min="8" max="8" width="5.1796875" style="147" customWidth="1"/>
    <col min="9" max="9" width="6.81640625" style="39" customWidth="1"/>
    <col min="10" max="10" width="5.1796875" style="147" customWidth="1"/>
    <col min="11" max="11" width="6.81640625" style="39" customWidth="1"/>
    <col min="12" max="12" width="5.1796875" style="147" customWidth="1"/>
    <col min="13" max="13" width="6.81640625" style="39" customWidth="1"/>
    <col min="14" max="14" width="5.1796875" style="147" customWidth="1"/>
    <col min="15" max="15" width="6.81640625" style="39" customWidth="1"/>
    <col min="16" max="16" width="11.54296875" style="39" customWidth="1"/>
    <col min="17" max="17" width="5.1796875" style="147" customWidth="1"/>
    <col min="18" max="18" width="6.81640625" style="39" customWidth="1"/>
    <col min="19" max="19" width="5.1796875" style="147" customWidth="1"/>
    <col min="20" max="20" width="6.81640625" style="39" customWidth="1"/>
    <col min="21" max="21" width="5.1796875" style="147" customWidth="1"/>
    <col min="22" max="22" width="6.81640625" style="39" customWidth="1"/>
    <col min="23" max="23" width="5.1796875" style="147" customWidth="1"/>
    <col min="24" max="24" width="6.81640625" style="39" customWidth="1"/>
    <col min="25" max="25" width="11.54296875" style="39" customWidth="1"/>
    <col min="26" max="27" width="10.7265625" style="39" customWidth="1"/>
    <col min="28" max="28" width="9.1796875" style="39" customWidth="1"/>
    <col min="29" max="30" width="0" style="39" hidden="1" customWidth="1"/>
    <col min="31" max="16384" width="9.1796875" style="39" hidden="1"/>
  </cols>
  <sheetData>
    <row r="1" spans="1:28" ht="35.25" customHeight="1" x14ac:dyDescent="0.35">
      <c r="A1" s="15"/>
      <c r="B1" s="118" t="s">
        <v>127</v>
      </c>
      <c r="C1" s="100"/>
      <c r="D1" s="100"/>
      <c r="E1" s="100"/>
      <c r="F1" s="100"/>
      <c r="G1" s="100"/>
      <c r="H1" s="141"/>
      <c r="I1" s="100"/>
      <c r="J1" s="141"/>
      <c r="K1" s="100"/>
      <c r="L1" s="141"/>
      <c r="M1" s="100"/>
      <c r="N1" s="141"/>
      <c r="O1" s="100"/>
      <c r="P1" s="100"/>
      <c r="Q1" s="141"/>
      <c r="R1" s="100"/>
      <c r="S1" s="141"/>
      <c r="T1" s="100"/>
      <c r="U1" s="141"/>
      <c r="V1" s="100"/>
      <c r="W1" s="141"/>
      <c r="X1" s="100"/>
      <c r="Y1" s="100"/>
      <c r="Z1" s="100"/>
      <c r="AA1" s="100"/>
      <c r="AB1" s="100"/>
    </row>
    <row r="2" spans="1:28" s="50" customFormat="1" ht="5.15" customHeight="1" x14ac:dyDescent="0.35">
      <c r="B2" s="148"/>
      <c r="C2" s="149"/>
      <c r="D2" s="149"/>
      <c r="E2" s="149"/>
      <c r="F2" s="149"/>
      <c r="G2" s="149"/>
      <c r="H2" s="150"/>
      <c r="I2" s="149"/>
      <c r="J2" s="150"/>
      <c r="K2" s="149"/>
      <c r="L2" s="150"/>
      <c r="M2" s="149"/>
      <c r="N2" s="150"/>
      <c r="O2" s="149"/>
      <c r="P2" s="149"/>
      <c r="Q2" s="150"/>
      <c r="R2" s="149"/>
      <c r="S2" s="150"/>
      <c r="T2" s="149"/>
      <c r="U2" s="150"/>
      <c r="V2" s="149"/>
      <c r="W2" s="150"/>
      <c r="X2" s="149"/>
      <c r="Y2" s="149"/>
      <c r="AB2" s="149"/>
    </row>
    <row r="3" spans="1:28" s="114" customFormat="1" ht="31.5" customHeight="1" x14ac:dyDescent="0.45">
      <c r="B3" s="501" t="s">
        <v>121</v>
      </c>
      <c r="C3" s="115"/>
      <c r="D3" s="115"/>
      <c r="E3" s="115"/>
      <c r="F3" s="115"/>
      <c r="H3" s="142"/>
      <c r="I3" s="115"/>
      <c r="J3" s="142"/>
      <c r="K3" s="115"/>
      <c r="L3" s="142"/>
      <c r="M3" s="116"/>
      <c r="N3" s="142"/>
      <c r="O3" s="116"/>
      <c r="P3" s="116"/>
      <c r="Q3" s="142"/>
      <c r="R3" s="116"/>
      <c r="S3" s="142"/>
      <c r="T3" s="116"/>
      <c r="U3" s="142"/>
      <c r="V3" s="116"/>
      <c r="W3" s="142"/>
      <c r="X3" s="116"/>
      <c r="Y3" s="116"/>
      <c r="Z3" s="115"/>
      <c r="AA3" s="117"/>
    </row>
    <row r="4" spans="1:28" ht="35.5" customHeight="1" thickBot="1" x14ac:dyDescent="0.6">
      <c r="B4" s="152" t="s">
        <v>217</v>
      </c>
      <c r="C4" s="18"/>
      <c r="D4" s="18"/>
      <c r="E4" s="18"/>
      <c r="F4" s="51"/>
      <c r="G4" s="18"/>
      <c r="H4" s="143"/>
      <c r="I4" s="18"/>
      <c r="J4" s="143"/>
      <c r="K4" s="18"/>
      <c r="L4" s="143"/>
      <c r="M4" s="19"/>
      <c r="N4" s="143"/>
      <c r="O4" s="19"/>
      <c r="P4" s="19"/>
      <c r="Q4" s="143"/>
      <c r="R4" s="19"/>
      <c r="S4" s="143"/>
      <c r="T4" s="19"/>
      <c r="U4" s="143"/>
      <c r="V4" s="19"/>
      <c r="W4" s="143"/>
      <c r="X4" s="19"/>
      <c r="Y4" s="19"/>
      <c r="Z4" s="18"/>
      <c r="AA4" s="20"/>
    </row>
    <row r="5" spans="1:28" ht="30.75" customHeight="1" thickTop="1" thickBot="1" x14ac:dyDescent="0.4">
      <c r="B5" s="372" t="s">
        <v>18</v>
      </c>
      <c r="C5" s="373" t="s">
        <v>22</v>
      </c>
      <c r="D5" s="373" t="s">
        <v>91</v>
      </c>
      <c r="E5" s="373" t="s">
        <v>23</v>
      </c>
      <c r="F5" s="333" t="s">
        <v>28</v>
      </c>
      <c r="G5" s="334"/>
      <c r="H5" s="333" t="s">
        <v>31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3" t="s">
        <v>4</v>
      </c>
      <c r="AA5" s="334"/>
    </row>
    <row r="6" spans="1:28" ht="44.15" customHeight="1" thickTop="1" thickBot="1" x14ac:dyDescent="0.4">
      <c r="B6" s="372"/>
      <c r="C6" s="374"/>
      <c r="D6" s="374"/>
      <c r="E6" s="374"/>
      <c r="F6" s="335" t="s">
        <v>29</v>
      </c>
      <c r="G6" s="337" t="s">
        <v>30</v>
      </c>
      <c r="H6" s="333" t="s">
        <v>36</v>
      </c>
      <c r="I6" s="339"/>
      <c r="J6" s="339"/>
      <c r="K6" s="339"/>
      <c r="L6" s="339"/>
      <c r="M6" s="339"/>
      <c r="N6" s="339"/>
      <c r="O6" s="339"/>
      <c r="P6" s="339"/>
      <c r="Q6" s="333" t="s">
        <v>35</v>
      </c>
      <c r="R6" s="339"/>
      <c r="S6" s="339"/>
      <c r="T6" s="339"/>
      <c r="U6" s="339"/>
      <c r="V6" s="339"/>
      <c r="W6" s="339"/>
      <c r="X6" s="339"/>
      <c r="Y6" s="339"/>
      <c r="Z6" s="335" t="s">
        <v>13</v>
      </c>
      <c r="AA6" s="337" t="s">
        <v>21</v>
      </c>
    </row>
    <row r="7" spans="1:28" ht="51.75" customHeight="1" thickTop="1" thickBot="1" x14ac:dyDescent="0.4">
      <c r="B7" s="372"/>
      <c r="C7" s="375"/>
      <c r="D7" s="375"/>
      <c r="E7" s="375"/>
      <c r="F7" s="336"/>
      <c r="G7" s="338"/>
      <c r="H7" s="340" t="s">
        <v>146</v>
      </c>
      <c r="I7" s="341"/>
      <c r="J7" s="342" t="s">
        <v>32</v>
      </c>
      <c r="K7" s="342"/>
      <c r="L7" s="342" t="s">
        <v>33</v>
      </c>
      <c r="M7" s="342"/>
      <c r="N7" s="343" t="s">
        <v>34</v>
      </c>
      <c r="O7" s="342"/>
      <c r="P7" s="258" t="s">
        <v>147</v>
      </c>
      <c r="Q7" s="340" t="s">
        <v>146</v>
      </c>
      <c r="R7" s="341"/>
      <c r="S7" s="342" t="s">
        <v>32</v>
      </c>
      <c r="T7" s="342"/>
      <c r="U7" s="342" t="s">
        <v>33</v>
      </c>
      <c r="V7" s="342"/>
      <c r="W7" s="343" t="s">
        <v>34</v>
      </c>
      <c r="X7" s="342"/>
      <c r="Y7" s="258" t="s">
        <v>147</v>
      </c>
      <c r="Z7" s="336"/>
      <c r="AA7" s="338"/>
    </row>
    <row r="8" spans="1:28" s="99" customFormat="1" ht="21.75" customHeight="1" thickTop="1" thickBot="1" x14ac:dyDescent="0.4">
      <c r="B8" s="33" t="s">
        <v>201</v>
      </c>
      <c r="C8" s="33" t="s">
        <v>27</v>
      </c>
      <c r="D8" s="75">
        <v>1</v>
      </c>
      <c r="E8" s="33" t="s">
        <v>25</v>
      </c>
      <c r="F8" s="247">
        <f>INDEX(Q2_Paeds,15,7)</f>
        <v>67</v>
      </c>
      <c r="G8" s="247">
        <f>INDEX(Q2_Paeds,15,8)</f>
        <v>0</v>
      </c>
      <c r="H8" s="233">
        <f>INDEX(Q2_Paeds,15,9)</f>
        <v>431</v>
      </c>
      <c r="I8" s="234">
        <f>IFERROR(H8/P8,0)</f>
        <v>0.37123169681309215</v>
      </c>
      <c r="J8" s="235">
        <f>INDEX(Q2_Paeds,15,10)</f>
        <v>186</v>
      </c>
      <c r="K8" s="234">
        <f>IFERROR(J8/P8,0)</f>
        <v>0.16020671834625322</v>
      </c>
      <c r="L8" s="235">
        <f>INDEX(Q2_Paeds,15,11)</f>
        <v>412</v>
      </c>
      <c r="M8" s="234">
        <f>IFERROR(L8/P8,0)</f>
        <v>0.35486649440137813</v>
      </c>
      <c r="N8" s="235">
        <f>INDEX(Q2_Paeds,15,12)</f>
        <v>132</v>
      </c>
      <c r="O8" s="234">
        <f>IFERROR(N8/P8,0)</f>
        <v>0.11369509043927649</v>
      </c>
      <c r="P8" s="236">
        <f>INDEX(Q2_Paeds,15,13)</f>
        <v>1161</v>
      </c>
      <c r="Q8" s="233">
        <f>INDEX(Q2_Paeds,15,15)</f>
        <v>0</v>
      </c>
      <c r="R8" s="234">
        <f>IFERROR(Q8/Y8,0)</f>
        <v>0</v>
      </c>
      <c r="S8" s="235">
        <f>INDEX(Q2_Paeds,15,16)</f>
        <v>0</v>
      </c>
      <c r="T8" s="234">
        <f>IFERROR(S8/Y8,0)</f>
        <v>0</v>
      </c>
      <c r="U8" s="237">
        <f>INDEX(Q2_Paeds,15,17)</f>
        <v>0</v>
      </c>
      <c r="V8" s="234">
        <f>IFERROR(U8/Y8,0)</f>
        <v>0</v>
      </c>
      <c r="W8" s="235">
        <f>INDEX(Q2_Paeds,15,18)</f>
        <v>0</v>
      </c>
      <c r="X8" s="234">
        <f>IFERROR(W8/Y8,0)</f>
        <v>0</v>
      </c>
      <c r="Y8" s="236">
        <f>INDEX(Q2_Paeds,15,19)</f>
        <v>0</v>
      </c>
      <c r="Z8" s="248">
        <f>INDEX(Q2_Paeds,15,21)</f>
        <v>9.2999999999999999E-2</v>
      </c>
      <c r="AA8" s="249">
        <f>INDEX(Q2_Paeds,15,22)</f>
        <v>0</v>
      </c>
    </row>
    <row r="9" spans="1:28" s="13" customFormat="1" ht="21.75" customHeight="1" thickTop="1" thickBot="1" x14ac:dyDescent="0.4">
      <c r="B9" s="34" t="s">
        <v>196</v>
      </c>
      <c r="C9" s="34" t="s">
        <v>27</v>
      </c>
      <c r="D9" s="76">
        <v>2</v>
      </c>
      <c r="E9" s="34" t="s">
        <v>26</v>
      </c>
      <c r="F9" s="250">
        <f>INDEX(Q2_Paeds,6,7)</f>
        <v>8</v>
      </c>
      <c r="G9" s="251">
        <f>INDEX(Q2_Paeds,6,8)</f>
        <v>0</v>
      </c>
      <c r="H9" s="238">
        <f>INDEX(Q2_Paeds,6,9)</f>
        <v>306</v>
      </c>
      <c r="I9" s="239">
        <f>IFERROR(H9/P9,0)</f>
        <v>0.33333333333333331</v>
      </c>
      <c r="J9" s="240">
        <f>INDEX(Q2_Paeds,6,10)</f>
        <v>196</v>
      </c>
      <c r="K9" s="239">
        <f>IFERROR(J9/P9,0)</f>
        <v>0.21350762527233116</v>
      </c>
      <c r="L9" s="240">
        <f>INDEX(Q2_Paeds,6,11)</f>
        <v>125</v>
      </c>
      <c r="M9" s="239">
        <f>IFERROR(L9/P9,0)</f>
        <v>0.13616557734204793</v>
      </c>
      <c r="N9" s="240">
        <f>INDEX(Q2_Paeds,6,12)</f>
        <v>291</v>
      </c>
      <c r="O9" s="239">
        <f>IFERROR(N9/P9,0)</f>
        <v>0.31699346405228757</v>
      </c>
      <c r="P9" s="241">
        <f>INDEX(Q2_Paeds,6,13)</f>
        <v>918</v>
      </c>
      <c r="Q9" s="242">
        <f>INDEX(Q2_Paeds,6,15)</f>
        <v>0</v>
      </c>
      <c r="R9" s="239">
        <f>IFERROR(Q9/Y9,0)</f>
        <v>0</v>
      </c>
      <c r="S9" s="240">
        <f>INDEX(Q2_Paeds,6,16)</f>
        <v>0</v>
      </c>
      <c r="T9" s="239">
        <f>IFERROR(S9/Y9,0)</f>
        <v>0</v>
      </c>
      <c r="U9" s="243">
        <f>INDEX(Q2_Paeds,6,17)</f>
        <v>0</v>
      </c>
      <c r="V9" s="239">
        <f>IFERROR(U9/Y9,0)</f>
        <v>0</v>
      </c>
      <c r="W9" s="240">
        <f>INDEX(Q2_Paeds,6,18)</f>
        <v>0</v>
      </c>
      <c r="X9" s="239">
        <f>IFERROR(W9/Y9,0)</f>
        <v>0</v>
      </c>
      <c r="Y9" s="241">
        <f>INDEX(Q2_Paeds,6,19)</f>
        <v>0</v>
      </c>
      <c r="Z9" s="252">
        <f>INDEX(Q2_Paeds,6,21)</f>
        <v>7.5999999999999998E-2</v>
      </c>
      <c r="AA9" s="253">
        <f>INDEX(Q2_Paeds,6,22)</f>
        <v>0</v>
      </c>
    </row>
    <row r="10" spans="1:28" s="13" customFormat="1" ht="21.75" customHeight="1" thickTop="1" thickBot="1" x14ac:dyDescent="0.4">
      <c r="B10" s="31" t="s">
        <v>195</v>
      </c>
      <c r="C10" s="31" t="s">
        <v>27</v>
      </c>
      <c r="D10" s="73">
        <v>3</v>
      </c>
      <c r="E10" s="31" t="s">
        <v>26</v>
      </c>
      <c r="F10" s="247" t="str">
        <f>INDEX(Q2_Paeds,5,7)</f>
        <v>No data</v>
      </c>
      <c r="G10" s="254" t="str">
        <f>INDEX(Q2_Paeds,5,8)</f>
        <v>No data</v>
      </c>
      <c r="H10" s="244" t="str">
        <f>INDEX(Q2_Paeds,5,9)</f>
        <v>No data</v>
      </c>
      <c r="I10" s="234">
        <f>IFERROR(H10/P10,0)</f>
        <v>0</v>
      </c>
      <c r="J10" s="235" t="str">
        <f>INDEX(Q2_Paeds,5,10)</f>
        <v>No data</v>
      </c>
      <c r="K10" s="234">
        <f>IFERROR(J10/P10,0)</f>
        <v>0</v>
      </c>
      <c r="L10" s="235" t="str">
        <f>INDEX(Q2_Paeds,5,11)</f>
        <v>No data</v>
      </c>
      <c r="M10" s="234">
        <f>IFERROR(L10/P10,0)</f>
        <v>0</v>
      </c>
      <c r="N10" s="235" t="str">
        <f>INDEX(Q2_Paeds,5,12)</f>
        <v>No data</v>
      </c>
      <c r="O10" s="234">
        <f>IFERROR(N10/P10,0)</f>
        <v>0</v>
      </c>
      <c r="P10" s="236" t="str">
        <f>INDEX(Q2_Paeds,5,13)</f>
        <v>No data</v>
      </c>
      <c r="Q10" s="233" t="str">
        <f>INDEX(Q2_Paeds,5,15)</f>
        <v>No data</v>
      </c>
      <c r="R10" s="234">
        <f>IFERROR(Q10/Y10,0)</f>
        <v>0</v>
      </c>
      <c r="S10" s="235" t="str">
        <f>INDEX(Q2_Paeds,5,16)</f>
        <v>No data</v>
      </c>
      <c r="T10" s="234">
        <f>IFERROR(S10/Y10,0)</f>
        <v>0</v>
      </c>
      <c r="U10" s="237" t="str">
        <f>INDEX(Q2_Paeds,5,17)</f>
        <v>No data</v>
      </c>
      <c r="V10" s="234">
        <f>IFERROR(U10/Y10,0)</f>
        <v>0</v>
      </c>
      <c r="W10" s="235" t="str">
        <f>INDEX(Q2_Paeds,5,18)</f>
        <v>No data</v>
      </c>
      <c r="X10" s="234">
        <f>IFERROR(W10/Y10,0)</f>
        <v>0</v>
      </c>
      <c r="Y10" s="236" t="str">
        <f>INDEX(Q2_Paeds,5,19)</f>
        <v>No data</v>
      </c>
      <c r="Z10" s="248" t="str">
        <f>INDEX(Q2_Paeds,5,21)</f>
        <v>No data</v>
      </c>
      <c r="AA10" s="249" t="str">
        <f>INDEX(Q2_Paeds,5,22)</f>
        <v>No data</v>
      </c>
    </row>
    <row r="11" spans="1:28" s="13" customFormat="1" ht="21.75" customHeight="1" thickTop="1" thickBot="1" x14ac:dyDescent="0.4">
      <c r="B11" s="35" t="s">
        <v>197</v>
      </c>
      <c r="C11" s="35" t="s">
        <v>27</v>
      </c>
      <c r="D11" s="77">
        <v>3</v>
      </c>
      <c r="E11" s="35" t="s">
        <v>26</v>
      </c>
      <c r="F11" s="250" t="str">
        <f>INDEX(Q2_Paeds,7,7)</f>
        <v>No data</v>
      </c>
      <c r="G11" s="251" t="str">
        <f>INDEX(Q2_Paeds,7,8)</f>
        <v>No data</v>
      </c>
      <c r="H11" s="238" t="str">
        <f>INDEX(Q2_Paeds,7,9)</f>
        <v>No data</v>
      </c>
      <c r="I11" s="239">
        <f t="shared" ref="I11:I25" si="0">IFERROR(H11/P11,0)</f>
        <v>0</v>
      </c>
      <c r="J11" s="240" t="str">
        <f>INDEX(Q2_Paeds,7,10)</f>
        <v>No data</v>
      </c>
      <c r="K11" s="239">
        <f t="shared" ref="K11:K25" si="1">IFERROR(J11/P11,0)</f>
        <v>0</v>
      </c>
      <c r="L11" s="240" t="str">
        <f>INDEX(Q2_Paeds,7,11)</f>
        <v>No data</v>
      </c>
      <c r="M11" s="239">
        <f t="shared" ref="M11:M25" si="2">IFERROR(L11/P11,0)</f>
        <v>0</v>
      </c>
      <c r="N11" s="240" t="str">
        <f>INDEX(Q2_Paeds,7,12)</f>
        <v>No data</v>
      </c>
      <c r="O11" s="239">
        <f t="shared" ref="O11:O25" si="3">IFERROR(N11/P11,0)</f>
        <v>0</v>
      </c>
      <c r="P11" s="241" t="str">
        <f>INDEX(Q2_Paeds,7,13)</f>
        <v>No data</v>
      </c>
      <c r="Q11" s="242" t="str">
        <f>INDEX(Q2_Paeds,7,15)</f>
        <v>No data</v>
      </c>
      <c r="R11" s="239">
        <f t="shared" ref="R11:R25" si="4">IFERROR(Q11/Y11,0)</f>
        <v>0</v>
      </c>
      <c r="S11" s="240" t="str">
        <f>INDEX(Q2_Paeds,7,16)</f>
        <v>No data</v>
      </c>
      <c r="T11" s="239">
        <f t="shared" ref="T11:T25" si="5">IFERROR(S11/Y11,0)</f>
        <v>0</v>
      </c>
      <c r="U11" s="243" t="str">
        <f>INDEX(Q2_Paeds,7,17)</f>
        <v>No data</v>
      </c>
      <c r="V11" s="239">
        <f t="shared" ref="V11:V25" si="6">IFERROR(U11/Y11,0)</f>
        <v>0</v>
      </c>
      <c r="W11" s="240" t="str">
        <f>INDEX(Q2_Paeds,7,18)</f>
        <v>No data</v>
      </c>
      <c r="X11" s="239">
        <f t="shared" ref="X11:X25" si="7">IFERROR(W11/Y11,0)</f>
        <v>0</v>
      </c>
      <c r="Y11" s="241" t="str">
        <f>INDEX(Q2_Paeds,7,19)</f>
        <v>No data</v>
      </c>
      <c r="Z11" s="252" t="str">
        <f>INDEX(Q2_Paeds,7,21)</f>
        <v>No data</v>
      </c>
      <c r="AA11" s="253" t="str">
        <f>INDEX(Q2_Paeds,7,22)</f>
        <v>No data</v>
      </c>
    </row>
    <row r="12" spans="1:28" s="13" customFormat="1" ht="21.75" customHeight="1" thickTop="1" thickBot="1" x14ac:dyDescent="0.4">
      <c r="B12" s="33" t="s">
        <v>198</v>
      </c>
      <c r="C12" s="33" t="s">
        <v>27</v>
      </c>
      <c r="D12" s="75">
        <v>3</v>
      </c>
      <c r="E12" s="33" t="s">
        <v>26</v>
      </c>
      <c r="F12" s="247">
        <f>INDEX(Q2_Paeds,8,7)</f>
        <v>13</v>
      </c>
      <c r="G12" s="254">
        <f>INDEX(Q2_Paeds,8,8)</f>
        <v>14.2</v>
      </c>
      <c r="H12" s="244">
        <f>INDEX(Q2_Paeds,8,9)</f>
        <v>10</v>
      </c>
      <c r="I12" s="234">
        <f t="shared" si="0"/>
        <v>0.55555555555555558</v>
      </c>
      <c r="J12" s="235">
        <f>INDEX(Q2_Paeds,8,10)</f>
        <v>4</v>
      </c>
      <c r="K12" s="234">
        <f t="shared" si="1"/>
        <v>0.22222222222222221</v>
      </c>
      <c r="L12" s="235">
        <f>INDEX(Q2_Paeds,8,11)</f>
        <v>4</v>
      </c>
      <c r="M12" s="234">
        <f t="shared" si="2"/>
        <v>0.22222222222222221</v>
      </c>
      <c r="N12" s="235">
        <f>INDEX(Q2_Paeds,8,12)</f>
        <v>0</v>
      </c>
      <c r="O12" s="234">
        <f t="shared" si="3"/>
        <v>0</v>
      </c>
      <c r="P12" s="236">
        <f>INDEX(Q2_Paeds,8,13)</f>
        <v>18</v>
      </c>
      <c r="Q12" s="233">
        <f>INDEX(Q2_Paeds,8,15)</f>
        <v>8</v>
      </c>
      <c r="R12" s="234">
        <f t="shared" si="4"/>
        <v>0.34782608695652173</v>
      </c>
      <c r="S12" s="235">
        <f>INDEX(Q2_Paeds,8,16)</f>
        <v>6</v>
      </c>
      <c r="T12" s="234">
        <f t="shared" si="5"/>
        <v>0.2608695652173913</v>
      </c>
      <c r="U12" s="237">
        <f>INDEX(Q2_Paeds,8,17)</f>
        <v>5</v>
      </c>
      <c r="V12" s="234">
        <f t="shared" si="6"/>
        <v>0.21739130434782608</v>
      </c>
      <c r="W12" s="235">
        <f>INDEX(Q2_Paeds,8,18)</f>
        <v>4</v>
      </c>
      <c r="X12" s="234">
        <f t="shared" si="7"/>
        <v>0.17391304347826086</v>
      </c>
      <c r="Y12" s="236">
        <f>INDEX(Q2_Paeds,8,19)</f>
        <v>23</v>
      </c>
      <c r="Z12" s="248">
        <f>INDEX(Q2_Paeds,8,21)</f>
        <v>0.22</v>
      </c>
      <c r="AA12" s="249">
        <f>INDEX(Q2_Paeds,8,22)</f>
        <v>0.16</v>
      </c>
    </row>
    <row r="13" spans="1:28" s="13" customFormat="1" ht="21.75" customHeight="1" thickTop="1" thickBot="1" x14ac:dyDescent="0.4">
      <c r="B13" s="34" t="s">
        <v>199</v>
      </c>
      <c r="C13" s="34" t="s">
        <v>27</v>
      </c>
      <c r="D13" s="76">
        <v>3</v>
      </c>
      <c r="E13" s="34" t="s">
        <v>26</v>
      </c>
      <c r="F13" s="250">
        <f>INDEX(Q2_Paeds,9,7)</f>
        <v>19.670000000000002</v>
      </c>
      <c r="G13" s="251">
        <f>INDEX(Q2_Paeds,9,8)</f>
        <v>21.5</v>
      </c>
      <c r="H13" s="238">
        <f>INDEX(Q2_Paeds,9,9)</f>
        <v>5</v>
      </c>
      <c r="I13" s="239">
        <f t="shared" si="0"/>
        <v>0.17241379310344829</v>
      </c>
      <c r="J13" s="240">
        <f>INDEX(Q2_Paeds,9,10)</f>
        <v>13</v>
      </c>
      <c r="K13" s="239">
        <f t="shared" si="1"/>
        <v>0.44827586206896552</v>
      </c>
      <c r="L13" s="240">
        <f>INDEX(Q2_Paeds,9,11)</f>
        <v>6</v>
      </c>
      <c r="M13" s="239">
        <f t="shared" si="2"/>
        <v>0.20689655172413793</v>
      </c>
      <c r="N13" s="240">
        <f>INDEX(Q2_Paeds,9,12)</f>
        <v>5</v>
      </c>
      <c r="O13" s="239">
        <f t="shared" si="3"/>
        <v>0.17241379310344829</v>
      </c>
      <c r="P13" s="241">
        <f>INDEX(Q2_Paeds,9,13)</f>
        <v>29</v>
      </c>
      <c r="Q13" s="242">
        <f>INDEX(Q2_Paeds,9,15)</f>
        <v>23</v>
      </c>
      <c r="R13" s="239">
        <f t="shared" si="4"/>
        <v>0.35384615384615387</v>
      </c>
      <c r="S13" s="240">
        <f>INDEX(Q2_Paeds,9,16)</f>
        <v>7</v>
      </c>
      <c r="T13" s="239">
        <f t="shared" si="5"/>
        <v>0.1076923076923077</v>
      </c>
      <c r="U13" s="243">
        <f>INDEX(Q2_Paeds,9,17)</f>
        <v>19</v>
      </c>
      <c r="V13" s="239">
        <f t="shared" si="6"/>
        <v>0.29230769230769232</v>
      </c>
      <c r="W13" s="240">
        <f>INDEX(Q2_Paeds,9,18)</f>
        <v>16</v>
      </c>
      <c r="X13" s="239">
        <f t="shared" si="7"/>
        <v>0.24615384615384617</v>
      </c>
      <c r="Y13" s="241">
        <f>INDEX(Q2_Paeds,9,19)</f>
        <v>65</v>
      </c>
      <c r="Z13" s="252">
        <f>INDEX(Q2_Paeds,9,21)</f>
        <v>0.12</v>
      </c>
      <c r="AA13" s="253">
        <f>INDEX(Q2_Paeds,9,22)</f>
        <v>0.26</v>
      </c>
    </row>
    <row r="14" spans="1:28" s="13" customFormat="1" ht="21.75" customHeight="1" thickTop="1" thickBot="1" x14ac:dyDescent="0.4">
      <c r="B14" s="33" t="s">
        <v>202</v>
      </c>
      <c r="C14" s="33" t="s">
        <v>27</v>
      </c>
      <c r="D14" s="75">
        <v>3</v>
      </c>
      <c r="E14" s="33" t="s">
        <v>26</v>
      </c>
      <c r="F14" s="247">
        <f>INDEX(Q2_Paeds,10,7)</f>
        <v>80</v>
      </c>
      <c r="G14" s="254">
        <f>INDEX(Q2_Paeds,10,8)</f>
        <v>32</v>
      </c>
      <c r="H14" s="244">
        <f>INDEX(Q2_Paeds,10,9)</f>
        <v>8</v>
      </c>
      <c r="I14" s="234">
        <f t="shared" si="0"/>
        <v>0.72727272727272729</v>
      </c>
      <c r="J14" s="235">
        <f>INDEX(Q2_Paeds,10,10)</f>
        <v>2</v>
      </c>
      <c r="K14" s="234">
        <f t="shared" si="1"/>
        <v>0.18181818181818182</v>
      </c>
      <c r="L14" s="235">
        <f>INDEX(Q2_Paeds,10,11)</f>
        <v>1</v>
      </c>
      <c r="M14" s="234">
        <f t="shared" si="2"/>
        <v>9.0909090909090912E-2</v>
      </c>
      <c r="N14" s="235">
        <f>INDEX(Q2_Paeds,10,12)</f>
        <v>0</v>
      </c>
      <c r="O14" s="234">
        <f t="shared" si="3"/>
        <v>0</v>
      </c>
      <c r="P14" s="236">
        <f>INDEX(Q2_Paeds,10,13)</f>
        <v>11</v>
      </c>
      <c r="Q14" s="233">
        <f>INDEX(Q2_Paeds,10,15)</f>
        <v>19</v>
      </c>
      <c r="R14" s="234">
        <f t="shared" si="4"/>
        <v>0.47499999999999998</v>
      </c>
      <c r="S14" s="235">
        <f>INDEX(Q2_Paeds,10,16)</f>
        <v>4</v>
      </c>
      <c r="T14" s="234">
        <f t="shared" si="5"/>
        <v>0.1</v>
      </c>
      <c r="U14" s="237">
        <f>INDEX(Q2_Paeds,10,17)</f>
        <v>17</v>
      </c>
      <c r="V14" s="234">
        <f t="shared" si="6"/>
        <v>0.42499999999999999</v>
      </c>
      <c r="W14" s="235">
        <f>INDEX(Q2_Paeds,10,18)</f>
        <v>0</v>
      </c>
      <c r="X14" s="234">
        <f t="shared" si="7"/>
        <v>0</v>
      </c>
      <c r="Y14" s="236">
        <f>INDEX(Q2_Paeds,10,19)</f>
        <v>40</v>
      </c>
      <c r="Z14" s="248">
        <f>INDEX(Q2_Paeds,10,21)</f>
        <v>0</v>
      </c>
      <c r="AA14" s="249">
        <f>INDEX(Q2_Paeds,10,22)</f>
        <v>0</v>
      </c>
    </row>
    <row r="15" spans="1:28" s="13" customFormat="1" ht="21.75" customHeight="1" thickTop="1" thickBot="1" x14ac:dyDescent="0.4">
      <c r="B15" s="34" t="s">
        <v>203</v>
      </c>
      <c r="C15" s="34" t="s">
        <v>27</v>
      </c>
      <c r="D15" s="76">
        <v>3</v>
      </c>
      <c r="E15" s="34" t="s">
        <v>26</v>
      </c>
      <c r="F15" s="250">
        <f>INDEX(Q2_Paeds,11,7)</f>
        <v>17</v>
      </c>
      <c r="G15" s="251">
        <f>INDEX(Q2_Paeds,11,8)</f>
        <v>81</v>
      </c>
      <c r="H15" s="238">
        <f>INDEX(Q2_Paeds,11,9)</f>
        <v>1</v>
      </c>
      <c r="I15" s="239">
        <f t="shared" si="0"/>
        <v>0.25</v>
      </c>
      <c r="J15" s="240">
        <f>INDEX(Q2_Paeds,11,10)</f>
        <v>3</v>
      </c>
      <c r="K15" s="239">
        <f t="shared" si="1"/>
        <v>0.75</v>
      </c>
      <c r="L15" s="240">
        <f>INDEX(Q2_Paeds,11,11)</f>
        <v>0</v>
      </c>
      <c r="M15" s="239">
        <f t="shared" si="2"/>
        <v>0</v>
      </c>
      <c r="N15" s="240">
        <f>INDEX(Q2_Paeds,11,12)</f>
        <v>0</v>
      </c>
      <c r="O15" s="239">
        <f t="shared" si="3"/>
        <v>0</v>
      </c>
      <c r="P15" s="241">
        <f>INDEX(Q2_Paeds,11,13)</f>
        <v>4</v>
      </c>
      <c r="Q15" s="242">
        <f>INDEX(Q2_Paeds,11,15)</f>
        <v>16</v>
      </c>
      <c r="R15" s="239">
        <f t="shared" si="4"/>
        <v>0.55172413793103448</v>
      </c>
      <c r="S15" s="240">
        <f>INDEX(Q2_Paeds,11,16)</f>
        <v>12</v>
      </c>
      <c r="T15" s="239">
        <f t="shared" si="5"/>
        <v>0.41379310344827586</v>
      </c>
      <c r="U15" s="243">
        <f>INDEX(Q2_Paeds,11,17)</f>
        <v>1</v>
      </c>
      <c r="V15" s="239">
        <f t="shared" si="6"/>
        <v>3.4482758620689655E-2</v>
      </c>
      <c r="W15" s="240">
        <f>INDEX(Q2_Paeds,11,18)</f>
        <v>0</v>
      </c>
      <c r="X15" s="239">
        <f t="shared" si="7"/>
        <v>0</v>
      </c>
      <c r="Y15" s="241">
        <f>INDEX(Q2_Paeds,11,19)</f>
        <v>29</v>
      </c>
      <c r="Z15" s="252">
        <f>INDEX(Q2_Paeds,11,21)</f>
        <v>0</v>
      </c>
      <c r="AA15" s="253">
        <f>INDEX(Q2_Paeds,11,22)</f>
        <v>0</v>
      </c>
    </row>
    <row r="16" spans="1:28" s="13" customFormat="1" ht="21.75" customHeight="1" thickTop="1" thickBot="1" x14ac:dyDescent="0.4">
      <c r="B16" s="36" t="s">
        <v>200</v>
      </c>
      <c r="C16" s="36" t="s">
        <v>27</v>
      </c>
      <c r="D16" s="78">
        <v>3</v>
      </c>
      <c r="E16" s="36" t="s">
        <v>26</v>
      </c>
      <c r="F16" s="247">
        <f>INDEX(Q2_Paeds,12,7)</f>
        <v>22</v>
      </c>
      <c r="G16" s="254">
        <f>INDEX(Q2_Paeds,12,8)</f>
        <v>19</v>
      </c>
      <c r="H16" s="244">
        <f>INDEX(Q2_Paeds,12,9)</f>
        <v>20</v>
      </c>
      <c r="I16" s="234">
        <f t="shared" si="0"/>
        <v>0.90909090909090906</v>
      </c>
      <c r="J16" s="235">
        <f>INDEX(Q2_Paeds,12,10)</f>
        <v>2</v>
      </c>
      <c r="K16" s="234">
        <f t="shared" si="1"/>
        <v>9.0909090909090912E-2</v>
      </c>
      <c r="L16" s="235">
        <f>INDEX(Q2_Paeds,12,11)</f>
        <v>0</v>
      </c>
      <c r="M16" s="234">
        <f t="shared" si="2"/>
        <v>0</v>
      </c>
      <c r="N16" s="235">
        <f>INDEX(Q2_Paeds,12,12)</f>
        <v>0</v>
      </c>
      <c r="O16" s="234">
        <f t="shared" si="3"/>
        <v>0</v>
      </c>
      <c r="P16" s="236">
        <f>INDEX(Q2_Paeds,12,13)</f>
        <v>22</v>
      </c>
      <c r="Q16" s="233">
        <f>INDEX(Q2_Paeds,12,15)</f>
        <v>21</v>
      </c>
      <c r="R16" s="234">
        <f t="shared" si="4"/>
        <v>0.75</v>
      </c>
      <c r="S16" s="235">
        <f>INDEX(Q2_Paeds,12,16)</f>
        <v>6</v>
      </c>
      <c r="T16" s="234">
        <f t="shared" si="5"/>
        <v>0.21428571428571427</v>
      </c>
      <c r="U16" s="237">
        <f>INDEX(Q2_Paeds,12,17)</f>
        <v>1</v>
      </c>
      <c r="V16" s="234">
        <f t="shared" si="6"/>
        <v>3.5714285714285712E-2</v>
      </c>
      <c r="W16" s="235">
        <f>INDEX(Q2_Paeds,12,18)</f>
        <v>0</v>
      </c>
      <c r="X16" s="234">
        <f t="shared" si="7"/>
        <v>0</v>
      </c>
      <c r="Y16" s="236">
        <f>INDEX(Q2_Paeds,12,19)</f>
        <v>28</v>
      </c>
      <c r="Z16" s="248">
        <f>INDEX(Q2_Paeds,12,21)</f>
        <v>0.12</v>
      </c>
      <c r="AA16" s="249">
        <f>INDEX(Q2_Paeds,12,22)</f>
        <v>7.0000000000000007E-2</v>
      </c>
    </row>
    <row r="17" spans="2:27" s="13" customFormat="1" ht="21.75" customHeight="1" thickTop="1" thickBot="1" x14ac:dyDescent="0.4">
      <c r="B17" s="34" t="s">
        <v>82</v>
      </c>
      <c r="C17" s="34" t="s">
        <v>27</v>
      </c>
      <c r="D17" s="76">
        <v>3</v>
      </c>
      <c r="E17" s="34" t="s">
        <v>25</v>
      </c>
      <c r="F17" s="250" t="str">
        <f>INDEX(Q2_Paeds,13,7)</f>
        <v>No data</v>
      </c>
      <c r="G17" s="251" t="str">
        <f>INDEX(Q2_Paeds,13,8)</f>
        <v>No data</v>
      </c>
      <c r="H17" s="238" t="str">
        <f>INDEX(Q2_Paeds,13,9)</f>
        <v>No data</v>
      </c>
      <c r="I17" s="239">
        <f t="shared" si="0"/>
        <v>0</v>
      </c>
      <c r="J17" s="240" t="str">
        <f>INDEX(Q2_Paeds,13,10)</f>
        <v>No data</v>
      </c>
      <c r="K17" s="239">
        <f t="shared" si="1"/>
        <v>0</v>
      </c>
      <c r="L17" s="240" t="str">
        <f>INDEX(Q2_Paeds,13,11)</f>
        <v>No data</v>
      </c>
      <c r="M17" s="239">
        <f t="shared" si="2"/>
        <v>0</v>
      </c>
      <c r="N17" s="240" t="str">
        <f>INDEX(Q2_Paeds,13,12)</f>
        <v>No data</v>
      </c>
      <c r="O17" s="239">
        <f t="shared" si="3"/>
        <v>0</v>
      </c>
      <c r="P17" s="241" t="str">
        <f>INDEX(Q2_Paeds,13,13)</f>
        <v>No data</v>
      </c>
      <c r="Q17" s="242" t="str">
        <f>INDEX(Q2_Paeds,13,15)</f>
        <v>No data</v>
      </c>
      <c r="R17" s="239">
        <f t="shared" si="4"/>
        <v>0</v>
      </c>
      <c r="S17" s="240" t="str">
        <f>INDEX(Q2_Paeds,13,16)</f>
        <v>No data</v>
      </c>
      <c r="T17" s="239">
        <f t="shared" si="5"/>
        <v>0</v>
      </c>
      <c r="U17" s="243" t="str">
        <f>INDEX(Q2_Paeds,13,17)</f>
        <v>No data</v>
      </c>
      <c r="V17" s="239">
        <f t="shared" si="6"/>
        <v>0</v>
      </c>
      <c r="W17" s="240" t="str">
        <f>INDEX(Q2_Paeds,13,18)</f>
        <v>No data</v>
      </c>
      <c r="X17" s="239">
        <f t="shared" si="7"/>
        <v>0</v>
      </c>
      <c r="Y17" s="241" t="str">
        <f>INDEX(Q2_Paeds,13,19)</f>
        <v>No data</v>
      </c>
      <c r="Z17" s="252" t="str">
        <f>INDEX(Q2_Paeds,13,21)</f>
        <v>No data</v>
      </c>
      <c r="AA17" s="253" t="str">
        <f>INDEX(Q2_Paeds,13,22)</f>
        <v>No data</v>
      </c>
    </row>
    <row r="18" spans="2:27" s="13" customFormat="1" ht="21.75" customHeight="1" thickTop="1" thickBot="1" x14ac:dyDescent="0.4">
      <c r="B18" s="33" t="s">
        <v>83</v>
      </c>
      <c r="C18" s="33" t="s">
        <v>27</v>
      </c>
      <c r="D18" s="75">
        <v>3</v>
      </c>
      <c r="E18" s="33" t="s">
        <v>25</v>
      </c>
      <c r="F18" s="247">
        <f>INDEX(Q2_Paeds,14,7)</f>
        <v>16</v>
      </c>
      <c r="G18" s="254">
        <f>INDEX(Q2_Paeds,14,8)</f>
        <v>16</v>
      </c>
      <c r="H18" s="244">
        <f>INDEX(Q2_Paeds,14,9)</f>
        <v>9</v>
      </c>
      <c r="I18" s="234">
        <f t="shared" si="0"/>
        <v>0.81818181818181823</v>
      </c>
      <c r="J18" s="235">
        <f>INDEX(Q2_Paeds,14,10)</f>
        <v>2</v>
      </c>
      <c r="K18" s="234">
        <f t="shared" si="1"/>
        <v>0.18181818181818182</v>
      </c>
      <c r="L18" s="235">
        <f>INDEX(Q2_Paeds,14,11)</f>
        <v>0</v>
      </c>
      <c r="M18" s="234">
        <f t="shared" si="2"/>
        <v>0</v>
      </c>
      <c r="N18" s="235">
        <f>INDEX(Q2_Paeds,14,12)</f>
        <v>0</v>
      </c>
      <c r="O18" s="234">
        <f t="shared" si="3"/>
        <v>0</v>
      </c>
      <c r="P18" s="236">
        <f>INDEX(Q2_Paeds,14,13)</f>
        <v>11</v>
      </c>
      <c r="Q18" s="233">
        <f>INDEX(Q2_Paeds,14,15)</f>
        <v>23</v>
      </c>
      <c r="R18" s="234">
        <f t="shared" si="4"/>
        <v>1</v>
      </c>
      <c r="S18" s="235">
        <f>INDEX(Q2_Paeds,14,16)</f>
        <v>0</v>
      </c>
      <c r="T18" s="234">
        <f t="shared" si="5"/>
        <v>0</v>
      </c>
      <c r="U18" s="237">
        <f>INDEX(Q2_Paeds,14,17)</f>
        <v>0</v>
      </c>
      <c r="V18" s="234">
        <f t="shared" si="6"/>
        <v>0</v>
      </c>
      <c r="W18" s="235">
        <f>INDEX(Q2_Paeds,14,18)</f>
        <v>0</v>
      </c>
      <c r="X18" s="234">
        <f t="shared" si="7"/>
        <v>0</v>
      </c>
      <c r="Y18" s="236">
        <f>INDEX(Q2_Paeds,14,19)</f>
        <v>23</v>
      </c>
      <c r="Z18" s="248">
        <f>INDEX(Q2_Paeds,14,21)</f>
        <v>0.06</v>
      </c>
      <c r="AA18" s="249">
        <f>INDEX(Q2_Paeds,14,22)</f>
        <v>0.06</v>
      </c>
    </row>
    <row r="19" spans="2:27" s="13" customFormat="1" ht="21.75" customHeight="1" thickTop="1" thickBot="1" x14ac:dyDescent="0.4">
      <c r="B19" s="34" t="s">
        <v>84</v>
      </c>
      <c r="C19" s="34" t="s">
        <v>27</v>
      </c>
      <c r="D19" s="76">
        <v>3</v>
      </c>
      <c r="E19" s="34" t="s">
        <v>25</v>
      </c>
      <c r="F19" s="250">
        <f>INDEX(Q2_Paeds,16,7)</f>
        <v>9</v>
      </c>
      <c r="G19" s="251">
        <f>INDEX(Q2_Paeds,16,8)</f>
        <v>15</v>
      </c>
      <c r="H19" s="238">
        <f>INDEX(Q2_Paeds,16,9)</f>
        <v>37</v>
      </c>
      <c r="I19" s="239">
        <f t="shared" si="0"/>
        <v>0.22023809523809523</v>
      </c>
      <c r="J19" s="240">
        <f>INDEX(Q2_Paeds,16,10)</f>
        <v>27</v>
      </c>
      <c r="K19" s="239">
        <f t="shared" si="1"/>
        <v>0.16071428571428573</v>
      </c>
      <c r="L19" s="240">
        <f>INDEX(Q2_Paeds,16,11)</f>
        <v>61</v>
      </c>
      <c r="M19" s="239">
        <f t="shared" si="2"/>
        <v>0.36309523809523808</v>
      </c>
      <c r="N19" s="240">
        <f>INDEX(Q2_Paeds,16,12)</f>
        <v>43</v>
      </c>
      <c r="O19" s="239">
        <f t="shared" si="3"/>
        <v>0.25595238095238093</v>
      </c>
      <c r="P19" s="241">
        <f>INDEX(Q2_Paeds,16,13)</f>
        <v>168</v>
      </c>
      <c r="Q19" s="242">
        <f>INDEX(Q2_Paeds,16,15)</f>
        <v>22</v>
      </c>
      <c r="R19" s="239">
        <f t="shared" si="4"/>
        <v>0.19642857142857142</v>
      </c>
      <c r="S19" s="240">
        <f>INDEX(Q2_Paeds,16,16)</f>
        <v>22</v>
      </c>
      <c r="T19" s="239">
        <f t="shared" si="5"/>
        <v>0.19642857142857142</v>
      </c>
      <c r="U19" s="243">
        <f>INDEX(Q2_Paeds,16,17)</f>
        <v>44</v>
      </c>
      <c r="V19" s="239">
        <f t="shared" si="6"/>
        <v>0.39285714285714285</v>
      </c>
      <c r="W19" s="240">
        <f>INDEX(Q2_Paeds,16,18)</f>
        <v>24</v>
      </c>
      <c r="X19" s="239">
        <f t="shared" si="7"/>
        <v>0.21428571428571427</v>
      </c>
      <c r="Y19" s="241">
        <f>INDEX(Q2_Paeds,16,19)</f>
        <v>112</v>
      </c>
      <c r="Z19" s="252">
        <f>INDEX(Q2_Paeds,16,21)</f>
        <v>0.17</v>
      </c>
      <c r="AA19" s="253">
        <f>INDEX(Q2_Paeds,16,22)</f>
        <v>0.18</v>
      </c>
    </row>
    <row r="20" spans="2:27" s="13" customFormat="1" ht="21.75" customHeight="1" thickTop="1" thickBot="1" x14ac:dyDescent="0.4">
      <c r="B20" s="33" t="s">
        <v>74</v>
      </c>
      <c r="C20" s="33" t="s">
        <v>27</v>
      </c>
      <c r="D20" s="75">
        <v>3</v>
      </c>
      <c r="E20" s="33" t="s">
        <v>25</v>
      </c>
      <c r="F20" s="247">
        <f>INDEX(Q2_Paeds,17,7)</f>
        <v>11.5</v>
      </c>
      <c r="G20" s="254">
        <f>INDEX(Q2_Paeds,17,8)</f>
        <v>19.7</v>
      </c>
      <c r="H20" s="244">
        <f>INDEX(Q2_Paeds,17,9)</f>
        <v>48</v>
      </c>
      <c r="I20" s="234">
        <f t="shared" si="0"/>
        <v>0.13832853025936601</v>
      </c>
      <c r="J20" s="235">
        <f>INDEX(Q2_Paeds,17,10)</f>
        <v>55</v>
      </c>
      <c r="K20" s="234">
        <f t="shared" si="1"/>
        <v>0.15850144092219021</v>
      </c>
      <c r="L20" s="235">
        <f>INDEX(Q2_Paeds,17,11)</f>
        <v>107</v>
      </c>
      <c r="M20" s="234">
        <f t="shared" si="2"/>
        <v>0.30835734870317005</v>
      </c>
      <c r="N20" s="235">
        <f>INDEX(Q2_Paeds,17,12)</f>
        <v>137</v>
      </c>
      <c r="O20" s="234">
        <f t="shared" si="3"/>
        <v>0.39481268011527376</v>
      </c>
      <c r="P20" s="236">
        <f>INDEX(Q2_Paeds,17,13)</f>
        <v>347</v>
      </c>
      <c r="Q20" s="233">
        <f>INDEX(Q2_Paeds,17,15)</f>
        <v>42</v>
      </c>
      <c r="R20" s="234">
        <f t="shared" si="4"/>
        <v>0.17872340425531916</v>
      </c>
      <c r="S20" s="235">
        <f>INDEX(Q2_Paeds,17,16)</f>
        <v>31</v>
      </c>
      <c r="T20" s="234">
        <f t="shared" si="5"/>
        <v>0.13191489361702127</v>
      </c>
      <c r="U20" s="237">
        <f>INDEX(Q2_Paeds,17,17)</f>
        <v>114</v>
      </c>
      <c r="V20" s="234">
        <f t="shared" si="6"/>
        <v>0.48510638297872338</v>
      </c>
      <c r="W20" s="235">
        <f>INDEX(Q2_Paeds,17,18)</f>
        <v>48</v>
      </c>
      <c r="X20" s="234">
        <f t="shared" si="7"/>
        <v>0.20425531914893616</v>
      </c>
      <c r="Y20" s="236">
        <f>INDEX(Q2_Paeds,17,19)</f>
        <v>235</v>
      </c>
      <c r="Z20" s="248">
        <f>INDEX(Q2_Paeds,17,21)</f>
        <v>0.13</v>
      </c>
      <c r="AA20" s="249">
        <f>INDEX(Q2_Paeds,17,22)</f>
        <v>7.0000000000000007E-2</v>
      </c>
    </row>
    <row r="21" spans="2:27" s="13" customFormat="1" ht="21.75" customHeight="1" thickTop="1" thickBot="1" x14ac:dyDescent="0.4">
      <c r="B21" s="34" t="s">
        <v>86</v>
      </c>
      <c r="C21" s="34" t="s">
        <v>27</v>
      </c>
      <c r="D21" s="76">
        <v>3</v>
      </c>
      <c r="E21" s="34" t="s">
        <v>25</v>
      </c>
      <c r="F21" s="250" t="str">
        <f>INDEX(Q2_Paeds,18,7)</f>
        <v>No data</v>
      </c>
      <c r="G21" s="251" t="str">
        <f>INDEX(Q2_Paeds,18,8)</f>
        <v>No data</v>
      </c>
      <c r="H21" s="238" t="str">
        <f>INDEX(Q2_Paeds,18,9)</f>
        <v>No data</v>
      </c>
      <c r="I21" s="239">
        <f t="shared" si="0"/>
        <v>0</v>
      </c>
      <c r="J21" s="240" t="str">
        <f>INDEX(Q2_Paeds,18,10)</f>
        <v>No data</v>
      </c>
      <c r="K21" s="239">
        <f t="shared" si="1"/>
        <v>0</v>
      </c>
      <c r="L21" s="240" t="str">
        <f>INDEX(Q2_Paeds,18,11)</f>
        <v>No data</v>
      </c>
      <c r="M21" s="239">
        <f t="shared" si="2"/>
        <v>0</v>
      </c>
      <c r="N21" s="240" t="str">
        <f>INDEX(Q2_Paeds,18,12)</f>
        <v>No data</v>
      </c>
      <c r="O21" s="239">
        <f t="shared" si="3"/>
        <v>0</v>
      </c>
      <c r="P21" s="241" t="str">
        <f>INDEX(Q2_Paeds,18,13)</f>
        <v>No data</v>
      </c>
      <c r="Q21" s="242" t="str">
        <f>INDEX(Q2_Paeds,18,15)</f>
        <v>No data</v>
      </c>
      <c r="R21" s="239">
        <f t="shared" si="4"/>
        <v>0</v>
      </c>
      <c r="S21" s="240" t="str">
        <f>INDEX(Q2_Paeds,18,16)</f>
        <v>No data</v>
      </c>
      <c r="T21" s="239">
        <f t="shared" si="5"/>
        <v>0</v>
      </c>
      <c r="U21" s="243" t="str">
        <f>INDEX(Q2_Paeds,18,17)</f>
        <v>No data</v>
      </c>
      <c r="V21" s="239">
        <f t="shared" si="6"/>
        <v>0</v>
      </c>
      <c r="W21" s="240" t="str">
        <f>INDEX(Q2_Paeds,18,18)</f>
        <v>No data</v>
      </c>
      <c r="X21" s="239">
        <f t="shared" si="7"/>
        <v>0</v>
      </c>
      <c r="Y21" s="241" t="str">
        <f>INDEX(Q2_Paeds,18,19)</f>
        <v>No data</v>
      </c>
      <c r="Z21" s="252" t="str">
        <f>INDEX(Q2_Paeds,18,21)</f>
        <v>No data</v>
      </c>
      <c r="AA21" s="253" t="str">
        <f>INDEX(Q2_Paeds,18,22)</f>
        <v>No data</v>
      </c>
    </row>
    <row r="22" spans="2:27" s="13" customFormat="1" ht="21.75" customHeight="1" thickTop="1" thickBot="1" x14ac:dyDescent="0.4">
      <c r="B22" s="36" t="s">
        <v>60</v>
      </c>
      <c r="C22" s="36" t="s">
        <v>27</v>
      </c>
      <c r="D22" s="78">
        <v>3</v>
      </c>
      <c r="E22" s="36" t="s">
        <v>25</v>
      </c>
      <c r="F22" s="247">
        <f>INDEX(Q2_Paeds,19,7)</f>
        <v>7</v>
      </c>
      <c r="G22" s="254">
        <f>INDEX(Q2_Paeds,19,8)</f>
        <v>6</v>
      </c>
      <c r="H22" s="244">
        <f>INDEX(Q2_Paeds,19,9)</f>
        <v>0</v>
      </c>
      <c r="I22" s="234">
        <f t="shared" si="0"/>
        <v>0</v>
      </c>
      <c r="J22" s="235">
        <f>INDEX(Q2_Paeds,19,10)</f>
        <v>0</v>
      </c>
      <c r="K22" s="234">
        <f t="shared" si="1"/>
        <v>0</v>
      </c>
      <c r="L22" s="235">
        <f>INDEX(Q2_Paeds,19,11)</f>
        <v>0</v>
      </c>
      <c r="M22" s="234">
        <f t="shared" si="2"/>
        <v>0</v>
      </c>
      <c r="N22" s="235">
        <f>INDEX(Q2_Paeds,19,12)</f>
        <v>0</v>
      </c>
      <c r="O22" s="234">
        <f t="shared" si="3"/>
        <v>0</v>
      </c>
      <c r="P22" s="236">
        <f>INDEX(Q2_Paeds,19,13)</f>
        <v>0</v>
      </c>
      <c r="Q22" s="233">
        <f>INDEX(Q2_Paeds,19,15)</f>
        <v>13</v>
      </c>
      <c r="R22" s="234">
        <f t="shared" si="4"/>
        <v>0.25490196078431371</v>
      </c>
      <c r="S22" s="235">
        <f>INDEX(Q2_Paeds,19,16)</f>
        <v>24</v>
      </c>
      <c r="T22" s="245">
        <f t="shared" si="5"/>
        <v>0.47058823529411764</v>
      </c>
      <c r="U22" s="237">
        <f>INDEX(Q2_Paeds,19,17)</f>
        <v>14</v>
      </c>
      <c r="V22" s="234">
        <f t="shared" si="6"/>
        <v>0.27450980392156865</v>
      </c>
      <c r="W22" s="235">
        <f>INDEX(Q2_Paeds,19,18)</f>
        <v>0</v>
      </c>
      <c r="X22" s="234">
        <f t="shared" si="7"/>
        <v>0</v>
      </c>
      <c r="Y22" s="236">
        <f>INDEX(Q2_Paeds,19,19)</f>
        <v>51</v>
      </c>
      <c r="Z22" s="248">
        <f>INDEX(Q2_Paeds,19,21)</f>
        <v>0.05</v>
      </c>
      <c r="AA22" s="249">
        <f>INDEX(Q2_Paeds,19,22)</f>
        <v>0</v>
      </c>
    </row>
    <row r="23" spans="2:27" s="13" customFormat="1" ht="21.75" customHeight="1" thickTop="1" thickBot="1" x14ac:dyDescent="0.4">
      <c r="B23" s="37" t="s">
        <v>75</v>
      </c>
      <c r="C23" s="37" t="s">
        <v>27</v>
      </c>
      <c r="D23" s="79">
        <v>3</v>
      </c>
      <c r="E23" s="37" t="s">
        <v>25</v>
      </c>
      <c r="F23" s="250" t="str">
        <f>INDEX(Q2_Paeds,20,7)</f>
        <v>No data</v>
      </c>
      <c r="G23" s="251" t="str">
        <f>INDEX(Q2_Paeds,20,8)</f>
        <v>No data</v>
      </c>
      <c r="H23" s="242" t="str">
        <f>INDEX(Q2_Paeds,20,9)</f>
        <v>No data</v>
      </c>
      <c r="I23" s="239">
        <f t="shared" si="0"/>
        <v>0</v>
      </c>
      <c r="J23" s="240" t="str">
        <f>INDEX(Q2_Paeds,20,10)</f>
        <v>No data</v>
      </c>
      <c r="K23" s="239">
        <f t="shared" si="1"/>
        <v>0</v>
      </c>
      <c r="L23" s="240" t="str">
        <f>INDEX(Q2_Paeds,20,11)</f>
        <v>No data</v>
      </c>
      <c r="M23" s="239">
        <f t="shared" si="2"/>
        <v>0</v>
      </c>
      <c r="N23" s="240" t="str">
        <f>INDEX(Q2_Paeds,20,12)</f>
        <v>No data</v>
      </c>
      <c r="O23" s="239">
        <f t="shared" si="3"/>
        <v>0</v>
      </c>
      <c r="P23" s="241" t="str">
        <f>INDEX(Q2_Paeds,20,13)</f>
        <v>No data</v>
      </c>
      <c r="Q23" s="242" t="str">
        <f>INDEX(Q2_Paeds,20,15)</f>
        <v>No data</v>
      </c>
      <c r="R23" s="239">
        <f t="shared" si="4"/>
        <v>0</v>
      </c>
      <c r="S23" s="240" t="str">
        <f>INDEX(Q2_Paeds,20,16)</f>
        <v>No data</v>
      </c>
      <c r="T23" s="239">
        <f t="shared" si="5"/>
        <v>0</v>
      </c>
      <c r="U23" s="246" t="str">
        <f>INDEX(Q2_Paeds,20,17)</f>
        <v>No data</v>
      </c>
      <c r="V23" s="239">
        <f t="shared" si="6"/>
        <v>0</v>
      </c>
      <c r="W23" s="240" t="str">
        <f>INDEX(Q2_Paeds,20,18)</f>
        <v>No data</v>
      </c>
      <c r="X23" s="239">
        <f t="shared" si="7"/>
        <v>0</v>
      </c>
      <c r="Y23" s="241" t="str">
        <f>INDEX(Q2_Paeds,20,19)</f>
        <v>No data</v>
      </c>
      <c r="Z23" s="252" t="str">
        <f>INDEX(Q2_Paeds,20,21)</f>
        <v>No data</v>
      </c>
      <c r="AA23" s="253" t="str">
        <f>INDEX(Q2_Paeds,20,22)</f>
        <v>No data</v>
      </c>
    </row>
    <row r="24" spans="2:27" s="13" customFormat="1" ht="21.75" customHeight="1" thickTop="1" thickBot="1" x14ac:dyDescent="0.4">
      <c r="B24" s="38" t="s">
        <v>70</v>
      </c>
      <c r="C24" s="38" t="s">
        <v>27</v>
      </c>
      <c r="D24" s="80">
        <v>3</v>
      </c>
      <c r="E24" s="38" t="s">
        <v>25</v>
      </c>
      <c r="F24" s="247">
        <f>INDEX(Q2_Paeds,21,7)</f>
        <v>5</v>
      </c>
      <c r="G24" s="254">
        <f>INDEX(Q2_Paeds,21,8)</f>
        <v>6</v>
      </c>
      <c r="H24" s="233">
        <f>INDEX(Q2_Paeds,21,9)</f>
        <v>18</v>
      </c>
      <c r="I24" s="234">
        <f t="shared" si="0"/>
        <v>0.38297872340425532</v>
      </c>
      <c r="J24" s="235">
        <f>INDEX(Q2_Paeds,21,10)</f>
        <v>28</v>
      </c>
      <c r="K24" s="234">
        <f t="shared" si="1"/>
        <v>0.5957446808510638</v>
      </c>
      <c r="L24" s="235">
        <f>INDEX(Q2_Paeds,21,11)</f>
        <v>0</v>
      </c>
      <c r="M24" s="234">
        <f t="shared" si="2"/>
        <v>0</v>
      </c>
      <c r="N24" s="235">
        <f>INDEX(Q2_Paeds,21,12)</f>
        <v>1</v>
      </c>
      <c r="O24" s="234">
        <f t="shared" si="3"/>
        <v>2.1276595744680851E-2</v>
      </c>
      <c r="P24" s="236">
        <f>INDEX(Q2_Paeds,21,13)</f>
        <v>47</v>
      </c>
      <c r="Q24" s="233">
        <f>INDEX(Q2_Paeds,21,15)</f>
        <v>18</v>
      </c>
      <c r="R24" s="234">
        <f t="shared" si="4"/>
        <v>0.1487603305785124</v>
      </c>
      <c r="S24" s="235">
        <f>INDEX(Q2_Paeds,21,16)</f>
        <v>51</v>
      </c>
      <c r="T24" s="234">
        <f t="shared" si="5"/>
        <v>0.42148760330578511</v>
      </c>
      <c r="U24" s="237">
        <f>INDEX(Q2_Paeds,21,17)</f>
        <v>29</v>
      </c>
      <c r="V24" s="234">
        <f t="shared" si="6"/>
        <v>0.23966942148760331</v>
      </c>
      <c r="W24" s="235">
        <f>INDEX(Q2_Paeds,21,18)</f>
        <v>23</v>
      </c>
      <c r="X24" s="234">
        <f t="shared" si="7"/>
        <v>0.19008264462809918</v>
      </c>
      <c r="Y24" s="236">
        <f>INDEX(Q2_Paeds,21,19)</f>
        <v>121</v>
      </c>
      <c r="Z24" s="248">
        <f>INDEX(Q2_Paeds,21,21)</f>
        <v>0.03</v>
      </c>
      <c r="AA24" s="249">
        <f>INDEX(Q2_Paeds,21,22)</f>
        <v>0</v>
      </c>
    </row>
    <row r="25" spans="2:27" s="13" customFormat="1" ht="21.75" customHeight="1" thickTop="1" thickBot="1" x14ac:dyDescent="0.4">
      <c r="B25" s="35" t="s">
        <v>87</v>
      </c>
      <c r="C25" s="35" t="s">
        <v>27</v>
      </c>
      <c r="D25" s="77">
        <v>3</v>
      </c>
      <c r="E25" s="35" t="s">
        <v>25</v>
      </c>
      <c r="F25" s="250">
        <f>INDEX(Q2_Paeds,22,7)</f>
        <v>8</v>
      </c>
      <c r="G25" s="251">
        <f>INDEX(Q2_Paeds,22,8)</f>
        <v>17</v>
      </c>
      <c r="H25" s="242">
        <f>INDEX(Q2_Paeds,22,9)</f>
        <v>2</v>
      </c>
      <c r="I25" s="239">
        <f t="shared" si="0"/>
        <v>1</v>
      </c>
      <c r="J25" s="240">
        <f>INDEX(Q2_Paeds,22,10)</f>
        <v>0</v>
      </c>
      <c r="K25" s="239">
        <f t="shared" si="1"/>
        <v>0</v>
      </c>
      <c r="L25" s="240">
        <f>INDEX(Q2_Paeds,22,11)</f>
        <v>0</v>
      </c>
      <c r="M25" s="239">
        <f t="shared" si="2"/>
        <v>0</v>
      </c>
      <c r="N25" s="240">
        <f>INDEX(Q2_Paeds,22,12)</f>
        <v>0</v>
      </c>
      <c r="O25" s="239">
        <f t="shared" si="3"/>
        <v>0</v>
      </c>
      <c r="P25" s="241">
        <f>INDEX(Q2_Paeds,22,13)</f>
        <v>2</v>
      </c>
      <c r="Q25" s="242">
        <f>INDEX(Q2_Paeds,22,15)</f>
        <v>67</v>
      </c>
      <c r="R25" s="239">
        <f t="shared" si="4"/>
        <v>0.90540540540540537</v>
      </c>
      <c r="S25" s="240">
        <f>INDEX(Q2_Paeds,22,16)</f>
        <v>7</v>
      </c>
      <c r="T25" s="239">
        <f t="shared" si="5"/>
        <v>9.45945945945946E-2</v>
      </c>
      <c r="U25" s="246">
        <f>INDEX(Q2_Paeds,22,17)</f>
        <v>0</v>
      </c>
      <c r="V25" s="239">
        <f t="shared" si="6"/>
        <v>0</v>
      </c>
      <c r="W25" s="240">
        <f>INDEX(Q2_Paeds,22,18)</f>
        <v>0</v>
      </c>
      <c r="X25" s="239">
        <f t="shared" si="7"/>
        <v>0</v>
      </c>
      <c r="Y25" s="241">
        <f>INDEX(Q2_Paeds,22,19)</f>
        <v>74</v>
      </c>
      <c r="Z25" s="252">
        <f>INDEX(Q2_Paeds,22,21)</f>
        <v>7.0000000000000007E-2</v>
      </c>
      <c r="AA25" s="253">
        <f>INDEX(Q2_Paeds,22,22)</f>
        <v>0.05</v>
      </c>
    </row>
    <row r="26" spans="2:27" ht="15" thickTop="1" x14ac:dyDescent="0.35">
      <c r="B26" s="21"/>
      <c r="C26" s="21"/>
      <c r="D26" s="21"/>
      <c r="E26" s="21"/>
      <c r="F26" s="20"/>
      <c r="G26" s="20"/>
      <c r="H26" s="144"/>
      <c r="I26" s="20"/>
      <c r="J26" s="144"/>
      <c r="K26" s="20"/>
      <c r="L26" s="144"/>
      <c r="M26" s="20"/>
      <c r="N26" s="144"/>
      <c r="O26" s="20"/>
      <c r="P26" s="20"/>
      <c r="Q26" s="144"/>
      <c r="R26" s="20"/>
      <c r="S26" s="144"/>
      <c r="T26" s="20"/>
      <c r="U26" s="144"/>
      <c r="V26" s="20"/>
      <c r="W26" s="144"/>
      <c r="X26" s="20"/>
      <c r="Y26" s="20"/>
      <c r="Z26" s="20"/>
      <c r="AA26" s="20"/>
    </row>
    <row r="27" spans="2:27" ht="15" thickBot="1" x14ac:dyDescent="0.4">
      <c r="B27" s="21"/>
      <c r="C27" s="21"/>
      <c r="D27" s="21"/>
      <c r="E27" s="21"/>
      <c r="F27" s="20"/>
      <c r="G27" s="20"/>
      <c r="H27" s="144"/>
      <c r="I27" s="20"/>
      <c r="J27" s="144"/>
      <c r="K27" s="20"/>
      <c r="L27" s="144"/>
      <c r="M27" s="20"/>
      <c r="N27" s="144"/>
      <c r="O27" s="20"/>
      <c r="P27" s="20"/>
      <c r="Q27" s="144"/>
      <c r="R27" s="20"/>
      <c r="S27" s="144"/>
      <c r="T27" s="20"/>
      <c r="U27" s="144"/>
      <c r="V27" s="20"/>
      <c r="W27" s="144"/>
      <c r="X27" s="20"/>
      <c r="Y27" s="20"/>
      <c r="Z27" s="20"/>
      <c r="AA27" s="20"/>
    </row>
    <row r="28" spans="2:27" ht="14.5" x14ac:dyDescent="0.35">
      <c r="B28" s="344" t="s">
        <v>112</v>
      </c>
      <c r="C28" s="345" t="s">
        <v>113</v>
      </c>
      <c r="D28" s="346"/>
      <c r="E28" s="347"/>
      <c r="F28" s="354" t="s">
        <v>104</v>
      </c>
      <c r="G28" s="355"/>
      <c r="H28" s="356"/>
      <c r="I28" s="357"/>
      <c r="J28" s="360" t="s">
        <v>110</v>
      </c>
      <c r="K28" s="361"/>
      <c r="L28" s="364" t="s">
        <v>110</v>
      </c>
      <c r="M28" s="365"/>
      <c r="N28" s="368" t="s">
        <v>110</v>
      </c>
      <c r="O28" s="369"/>
      <c r="P28" s="259"/>
      <c r="Q28" s="356"/>
      <c r="R28" s="357"/>
      <c r="S28" s="360" t="s">
        <v>110</v>
      </c>
      <c r="T28" s="361"/>
      <c r="U28" s="364" t="s">
        <v>110</v>
      </c>
      <c r="V28" s="365"/>
      <c r="W28" s="368" t="s">
        <v>110</v>
      </c>
      <c r="X28" s="369"/>
      <c r="Y28" s="153"/>
      <c r="Z28" s="380" t="s">
        <v>107</v>
      </c>
      <c r="AA28" s="355"/>
    </row>
    <row r="29" spans="2:27" ht="14.5" x14ac:dyDescent="0.35">
      <c r="B29" s="344"/>
      <c r="C29" s="348"/>
      <c r="D29" s="349"/>
      <c r="E29" s="350"/>
      <c r="F29" s="381" t="s">
        <v>105</v>
      </c>
      <c r="G29" s="382"/>
      <c r="H29" s="358"/>
      <c r="I29" s="359"/>
      <c r="J29" s="362"/>
      <c r="K29" s="363"/>
      <c r="L29" s="366"/>
      <c r="M29" s="367"/>
      <c r="N29" s="370"/>
      <c r="O29" s="371"/>
      <c r="P29" s="260"/>
      <c r="Q29" s="358"/>
      <c r="R29" s="359"/>
      <c r="S29" s="362"/>
      <c r="T29" s="363"/>
      <c r="U29" s="366"/>
      <c r="V29" s="367"/>
      <c r="W29" s="370"/>
      <c r="X29" s="371"/>
      <c r="Y29" s="154"/>
      <c r="Z29" s="383" t="s">
        <v>108</v>
      </c>
      <c r="AA29" s="382"/>
    </row>
    <row r="30" spans="2:27" ht="15" thickBot="1" x14ac:dyDescent="0.4">
      <c r="B30" s="344"/>
      <c r="C30" s="351"/>
      <c r="D30" s="352"/>
      <c r="E30" s="353"/>
      <c r="F30" s="376" t="s">
        <v>106</v>
      </c>
      <c r="G30" s="377"/>
      <c r="H30" s="378"/>
      <c r="I30" s="379"/>
      <c r="J30" s="384" t="s">
        <v>111</v>
      </c>
      <c r="K30" s="379"/>
      <c r="L30" s="384" t="s">
        <v>111</v>
      </c>
      <c r="M30" s="379"/>
      <c r="N30" s="384" t="s">
        <v>111</v>
      </c>
      <c r="O30" s="379"/>
      <c r="P30" s="261"/>
      <c r="Q30" s="378"/>
      <c r="R30" s="379"/>
      <c r="S30" s="384" t="s">
        <v>111</v>
      </c>
      <c r="T30" s="379"/>
      <c r="U30" s="384" t="s">
        <v>111</v>
      </c>
      <c r="V30" s="379"/>
      <c r="W30" s="384" t="s">
        <v>111</v>
      </c>
      <c r="X30" s="379"/>
      <c r="Y30" s="140"/>
      <c r="Z30" s="385" t="s">
        <v>109</v>
      </c>
      <c r="AA30" s="377"/>
    </row>
    <row r="31" spans="2:27" ht="14.5" x14ac:dyDescent="0.35">
      <c r="B31" s="22"/>
      <c r="C31" s="22"/>
      <c r="D31" s="22"/>
      <c r="E31" s="22"/>
      <c r="F31" s="23"/>
      <c r="G31" s="23"/>
      <c r="H31" s="145"/>
      <c r="I31" s="23"/>
      <c r="J31" s="145"/>
      <c r="K31" s="23"/>
      <c r="L31" s="145"/>
      <c r="M31" s="23"/>
      <c r="N31" s="145"/>
      <c r="O31" s="23"/>
      <c r="P31" s="23"/>
      <c r="Q31" s="145"/>
      <c r="R31" s="23"/>
      <c r="S31" s="145"/>
      <c r="T31" s="23"/>
      <c r="U31" s="145"/>
      <c r="V31" s="23"/>
      <c r="W31" s="145"/>
      <c r="X31" s="23"/>
      <c r="Y31" s="23"/>
      <c r="Z31" s="23"/>
      <c r="AA31" s="24"/>
    </row>
    <row r="32" spans="2:27" ht="14.5" x14ac:dyDescent="0.35">
      <c r="B32" s="20"/>
      <c r="C32" s="20"/>
      <c r="D32" s="20"/>
      <c r="E32" s="20"/>
      <c r="F32" s="25">
        <v>10</v>
      </c>
      <c r="G32" s="25">
        <v>10</v>
      </c>
      <c r="H32" s="146">
        <v>10</v>
      </c>
      <c r="I32" s="25"/>
      <c r="J32" s="146">
        <v>10</v>
      </c>
      <c r="K32" s="25">
        <v>10</v>
      </c>
      <c r="L32" s="146">
        <v>10</v>
      </c>
      <c r="M32" s="25"/>
      <c r="N32" s="146"/>
      <c r="O32" s="25"/>
      <c r="P32" s="25"/>
      <c r="Q32" s="146"/>
      <c r="R32" s="25"/>
      <c r="S32" s="146"/>
      <c r="T32" s="25"/>
      <c r="U32" s="146"/>
      <c r="V32" s="25"/>
      <c r="W32" s="146"/>
      <c r="X32" s="25"/>
      <c r="Y32" s="25"/>
      <c r="Z32" s="25"/>
      <c r="AA32" s="20"/>
    </row>
    <row r="33" spans="2:27" ht="14.5" x14ac:dyDescent="0.35">
      <c r="B33" s="21" t="s">
        <v>19</v>
      </c>
      <c r="C33" s="21"/>
      <c r="D33" s="21"/>
      <c r="E33" s="21"/>
      <c r="F33" s="26"/>
      <c r="G33" s="20"/>
      <c r="H33" s="144"/>
      <c r="I33" s="20"/>
      <c r="J33" s="144"/>
      <c r="K33" s="20"/>
      <c r="L33" s="144"/>
      <c r="M33" s="20"/>
      <c r="N33" s="144"/>
      <c r="O33" s="20"/>
      <c r="P33" s="20"/>
      <c r="Q33" s="144"/>
      <c r="R33" s="20"/>
      <c r="S33" s="144"/>
      <c r="T33" s="20"/>
      <c r="U33" s="144"/>
      <c r="V33" s="20"/>
      <c r="W33" s="144"/>
      <c r="X33" s="20"/>
      <c r="Y33" s="20"/>
      <c r="Z33" s="20"/>
      <c r="AA33" s="20"/>
    </row>
    <row r="34" spans="2:27" ht="14.5" x14ac:dyDescent="0.35">
      <c r="B34" s="27" t="s">
        <v>20</v>
      </c>
      <c r="C34" s="27"/>
      <c r="D34" s="27"/>
      <c r="E34" s="27"/>
      <c r="F34" s="20"/>
      <c r="G34" s="20"/>
      <c r="H34" s="144"/>
      <c r="I34" s="20"/>
      <c r="J34" s="144"/>
      <c r="K34" s="20"/>
      <c r="L34" s="144"/>
      <c r="M34" s="20"/>
      <c r="N34" s="144"/>
      <c r="O34" s="20"/>
      <c r="P34" s="20"/>
      <c r="Q34" s="144"/>
      <c r="R34" s="20"/>
      <c r="S34" s="144"/>
      <c r="T34" s="20"/>
      <c r="U34" s="144"/>
      <c r="V34" s="20"/>
      <c r="W34" s="144"/>
      <c r="X34" s="20"/>
      <c r="Y34" s="20"/>
      <c r="Z34" s="20"/>
      <c r="AA34" s="20"/>
    </row>
    <row r="35" spans="2:27" ht="14.5" x14ac:dyDescent="0.35">
      <c r="B35" s="28"/>
      <c r="C35" s="28"/>
      <c r="D35" s="28"/>
      <c r="E35" s="28"/>
      <c r="F35" s="20"/>
      <c r="G35" s="20"/>
      <c r="H35" s="144"/>
      <c r="I35" s="20"/>
      <c r="J35" s="144"/>
      <c r="K35" s="20"/>
      <c r="L35" s="144"/>
      <c r="M35" s="20"/>
      <c r="N35" s="144"/>
      <c r="O35" s="20"/>
      <c r="P35" s="20"/>
      <c r="Q35" s="144"/>
      <c r="R35" s="20"/>
      <c r="S35" s="144"/>
      <c r="T35" s="20"/>
      <c r="U35" s="144"/>
      <c r="V35" s="20"/>
      <c r="W35" s="144"/>
      <c r="X35" s="20"/>
      <c r="Y35" s="20"/>
      <c r="Z35" s="20"/>
      <c r="AA35" s="20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</sheetData>
  <sheetProtection algorithmName="SHA-512" hashValue="1uwuHtbxFpDmes0BfhY8+cWmBq3QYo05wp/Xx1bMeh1GaxFGkg794ivnn+7Z3oiUoHjcL/4OP0pU0Ncg2LWQjA==" saltValue="y92oP87I7M1CSeh12yrwzA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34" priority="9" operator="containsText" text="N/A">
      <formula>NOT(ISERROR(SEARCH("N/A",F8)))</formula>
    </cfRule>
    <cfRule type="cellIs" dxfId="133" priority="16" operator="between">
      <formula>0.01</formula>
      <formula>13</formula>
    </cfRule>
    <cfRule type="cellIs" dxfId="132" priority="17" operator="between">
      <formula>13</formula>
      <formula>18</formula>
    </cfRule>
    <cfRule type="cellIs" dxfId="131" priority="18" operator="greaterThan">
      <formula>18</formula>
    </cfRule>
    <cfRule type="cellIs" dxfId="130" priority="19" operator="greaterThan">
      <formula>18</formula>
    </cfRule>
  </conditionalFormatting>
  <conditionalFormatting sqref="K8:K25 T8:T25">
    <cfRule type="cellIs" dxfId="129" priority="15" operator="greaterThan">
      <formula>0.49</formula>
    </cfRule>
  </conditionalFormatting>
  <conditionalFormatting sqref="V8:V25 M8:M25">
    <cfRule type="cellIs" dxfId="128" priority="14" operator="greaterThan">
      <formula>0.49</formula>
    </cfRule>
  </conditionalFormatting>
  <conditionalFormatting sqref="O8:O25 X8:X25">
    <cfRule type="cellIs" dxfId="127" priority="13" operator="greaterThan">
      <formula>0.49</formula>
    </cfRule>
  </conditionalFormatting>
  <conditionalFormatting sqref="Z8:AA25">
    <cfRule type="cellIs" dxfId="126" priority="10" operator="between">
      <formula>0.0001</formula>
      <formula>0.1</formula>
    </cfRule>
    <cfRule type="cellIs" dxfId="125" priority="11" operator="between">
      <formula>0.1</formula>
      <formula>0.19</formula>
    </cfRule>
    <cfRule type="cellIs" dxfId="124" priority="12" operator="greaterThan">
      <formula>0.2</formula>
    </cfRule>
  </conditionalFormatting>
  <conditionalFormatting sqref="J8:J25">
    <cfRule type="expression" dxfId="123" priority="8">
      <formula>($J8/$P8*100)&gt;49.49</formula>
    </cfRule>
  </conditionalFormatting>
  <conditionalFormatting sqref="L8:L25">
    <cfRule type="expression" dxfId="122" priority="7">
      <formula>($L8/$P8*100)&gt;49.49</formula>
    </cfRule>
  </conditionalFormatting>
  <conditionalFormatting sqref="N8:N25">
    <cfRule type="expression" dxfId="121" priority="6">
      <formula>($N8/$P8*100)&gt;49.49</formula>
    </cfRule>
  </conditionalFormatting>
  <conditionalFormatting sqref="S8:S25">
    <cfRule type="expression" dxfId="120" priority="5">
      <formula>($S8/$Y8*100)&gt;49.49</formula>
    </cfRule>
  </conditionalFormatting>
  <conditionalFormatting sqref="U8:U25">
    <cfRule type="expression" dxfId="119" priority="4">
      <formula>($U8/$Y8*100)&gt;49.49</formula>
    </cfRule>
  </conditionalFormatting>
  <conditionalFormatting sqref="W8:W25">
    <cfRule type="expression" dxfId="118" priority="3">
      <formula>($W8/$Y8*100)&gt;49.49</formula>
    </cfRule>
  </conditionalFormatting>
  <conditionalFormatting sqref="L9">
    <cfRule type="expression" dxfId="117" priority="2">
      <formula>"$M$9=&gt;.499"</formula>
    </cfRule>
  </conditionalFormatting>
  <conditionalFormatting sqref="F8:AA25">
    <cfRule type="expression" dxfId="116" priority="1">
      <formula>$F8="No data"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5" customHeight="1" zeroHeight="1" x14ac:dyDescent="0.35"/>
  <cols>
    <col min="1" max="29" width="9.1796875" style="39" customWidth="1"/>
    <col min="30" max="16384" width="9.1796875" style="39" hidden="1"/>
  </cols>
  <sheetData>
    <row r="1" spans="1:29" s="15" customFormat="1" ht="35.25" customHeight="1" x14ac:dyDescent="0.35">
      <c r="A1" s="386" t="s">
        <v>122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502" t="s">
        <v>121</v>
      </c>
      <c r="Z1" s="502"/>
      <c r="AA1" s="502"/>
    </row>
    <row r="2" spans="1:29" s="96" customFormat="1" ht="30" customHeight="1" x14ac:dyDescent="0.35">
      <c r="A2" s="388" t="s">
        <v>215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</row>
    <row r="3" spans="1:29" s="97" customFormat="1" ht="25.5" customHeight="1" x14ac:dyDescent="0.35">
      <c r="B3" s="98" t="s">
        <v>132</v>
      </c>
    </row>
    <row r="4" spans="1:29" s="17" customFormat="1" x14ac:dyDescent="0.35"/>
    <row r="5" spans="1:29" s="17" customFormat="1" x14ac:dyDescent="0.35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</row>
    <row r="6" spans="1:29" s="17" customFormat="1" x14ac:dyDescent="0.35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</row>
    <row r="7" spans="1:29" s="17" customFormat="1" x14ac:dyDescent="0.35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9" s="17" customFormat="1" x14ac:dyDescent="0.3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</row>
    <row r="9" spans="1:29" s="17" customFormat="1" x14ac:dyDescent="0.35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</row>
    <row r="10" spans="1:29" s="17" customFormat="1" x14ac:dyDescent="0.35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9" s="17" customFormat="1" x14ac:dyDescent="0.35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</row>
    <row r="12" spans="1:29" s="17" customFormat="1" x14ac:dyDescent="0.35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</row>
    <row r="13" spans="1:29" s="17" customFormat="1" x14ac:dyDescent="0.3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9" s="17" customFormat="1" x14ac:dyDescent="0.35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</row>
    <row r="15" spans="1:29" s="17" customFormat="1" x14ac:dyDescent="0.35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29" s="17" customFormat="1" x14ac:dyDescent="0.3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</row>
    <row r="17" spans="2:28" s="17" customFormat="1" x14ac:dyDescent="0.35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</row>
    <row r="18" spans="2:28" s="17" customFormat="1" x14ac:dyDescent="0.35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</row>
    <row r="19" spans="2:28" s="17" customFormat="1" x14ac:dyDescent="0.35"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</row>
    <row r="20" spans="2:28" s="17" customFormat="1" x14ac:dyDescent="0.35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</row>
    <row r="21" spans="2:28" s="17" customFormat="1" x14ac:dyDescent="0.35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</row>
    <row r="22" spans="2:28" s="17" customFormat="1" x14ac:dyDescent="0.35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</row>
    <row r="23" spans="2:28" s="17" customFormat="1" x14ac:dyDescent="0.35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</row>
    <row r="24" spans="2:28" s="17" customFormat="1" x14ac:dyDescent="0.35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</row>
    <row r="25" spans="2:28" s="17" customFormat="1" x14ac:dyDescent="0.35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</row>
    <row r="26" spans="2:28" s="17" customFormat="1" x14ac:dyDescent="0.35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</row>
    <row r="27" spans="2:28" s="17" customFormat="1" x14ac:dyDescent="0.35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</row>
    <row r="28" spans="2:28" s="17" customFormat="1" x14ac:dyDescent="0.35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</row>
    <row r="29" spans="2:28" s="17" customFormat="1" x14ac:dyDescent="0.35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</row>
    <row r="30" spans="2:28" s="17" customFormat="1" x14ac:dyDescent="0.3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</row>
    <row r="31" spans="2:28" s="17" customFormat="1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</row>
    <row r="32" spans="2:28" s="17" customFormat="1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</row>
    <row r="33" spans="1:28" s="17" customFormat="1" x14ac:dyDescent="0.35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</row>
    <row r="34" spans="1:28" s="17" customFormat="1" x14ac:dyDescent="0.35"/>
    <row r="35" spans="1:28" s="17" customFormat="1" x14ac:dyDescent="0.35"/>
    <row r="36" spans="1:28" s="97" customFormat="1" ht="25.5" customHeight="1" x14ac:dyDescent="0.35">
      <c r="B36" s="98" t="s">
        <v>123</v>
      </c>
    </row>
    <row r="37" spans="1:28" s="17" customFormat="1" x14ac:dyDescent="0.35"/>
    <row r="38" spans="1:28" s="95" customFormat="1" x14ac:dyDescent="0.35">
      <c r="A38" s="17"/>
    </row>
    <row r="39" spans="1:28" s="95" customFormat="1" x14ac:dyDescent="0.35">
      <c r="A39" s="17"/>
    </row>
    <row r="40" spans="1:28" s="95" customFormat="1" x14ac:dyDescent="0.35">
      <c r="A40" s="17"/>
    </row>
    <row r="41" spans="1:28" s="95" customFormat="1" x14ac:dyDescent="0.35">
      <c r="A41" s="17"/>
    </row>
    <row r="42" spans="1:28" s="95" customFormat="1" x14ac:dyDescent="0.35">
      <c r="A42" s="17"/>
    </row>
    <row r="43" spans="1:28" s="95" customFormat="1" x14ac:dyDescent="0.35">
      <c r="A43" s="17"/>
    </row>
    <row r="44" spans="1:28" s="95" customFormat="1" x14ac:dyDescent="0.35">
      <c r="A44" s="17"/>
    </row>
    <row r="45" spans="1:28" s="95" customFormat="1" x14ac:dyDescent="0.35">
      <c r="A45" s="17"/>
    </row>
    <row r="46" spans="1:28" s="95" customFormat="1" x14ac:dyDescent="0.35">
      <c r="A46" s="17"/>
    </row>
    <row r="47" spans="1:28" s="95" customFormat="1" x14ac:dyDescent="0.35">
      <c r="A47" s="17"/>
    </row>
    <row r="48" spans="1:28" s="95" customFormat="1" x14ac:dyDescent="0.35">
      <c r="A48" s="17"/>
    </row>
    <row r="49" spans="1:1" s="95" customFormat="1" x14ac:dyDescent="0.35">
      <c r="A49" s="17"/>
    </row>
    <row r="50" spans="1:1" s="95" customFormat="1" x14ac:dyDescent="0.35">
      <c r="A50" s="17"/>
    </row>
    <row r="51" spans="1:1" s="95" customFormat="1" x14ac:dyDescent="0.35">
      <c r="A51" s="17"/>
    </row>
    <row r="52" spans="1:1" s="95" customFormat="1" x14ac:dyDescent="0.35">
      <c r="A52" s="17"/>
    </row>
    <row r="53" spans="1:1" s="95" customFormat="1" x14ac:dyDescent="0.35">
      <c r="A53" s="17"/>
    </row>
    <row r="54" spans="1:1" s="95" customFormat="1" x14ac:dyDescent="0.35">
      <c r="A54" s="17"/>
    </row>
    <row r="55" spans="1:1" s="95" customFormat="1" x14ac:dyDescent="0.35">
      <c r="A55" s="17"/>
    </row>
    <row r="56" spans="1:1" s="95" customFormat="1" x14ac:dyDescent="0.35">
      <c r="A56" s="17"/>
    </row>
    <row r="57" spans="1:1" s="95" customFormat="1" x14ac:dyDescent="0.35">
      <c r="A57" s="17"/>
    </row>
    <row r="58" spans="1:1" s="95" customFormat="1" x14ac:dyDescent="0.35">
      <c r="A58" s="17"/>
    </row>
    <row r="59" spans="1:1" s="95" customFormat="1" x14ac:dyDescent="0.35">
      <c r="A59" s="17"/>
    </row>
    <row r="60" spans="1:1" s="95" customFormat="1" x14ac:dyDescent="0.35">
      <c r="A60" s="17"/>
    </row>
    <row r="61" spans="1:1" s="95" customFormat="1" x14ac:dyDescent="0.35">
      <c r="A61" s="17"/>
    </row>
    <row r="62" spans="1:1" s="95" customFormat="1" x14ac:dyDescent="0.35">
      <c r="A62" s="17"/>
    </row>
    <row r="63" spans="1:1" s="95" customFormat="1" x14ac:dyDescent="0.35">
      <c r="A63" s="17"/>
    </row>
    <row r="64" spans="1:1" s="95" customFormat="1" x14ac:dyDescent="0.35">
      <c r="A64" s="17"/>
    </row>
    <row r="65" spans="1:1" s="95" customFormat="1" x14ac:dyDescent="0.35">
      <c r="A65" s="17"/>
    </row>
    <row r="66" spans="1:1" s="95" customFormat="1" x14ac:dyDescent="0.35">
      <c r="A66" s="17"/>
    </row>
    <row r="67" spans="1:1" s="95" customFormat="1" x14ac:dyDescent="0.35">
      <c r="A67" s="17"/>
    </row>
    <row r="68" spans="1:1" s="95" customFormat="1" x14ac:dyDescent="0.35">
      <c r="A68" s="17"/>
    </row>
    <row r="69" spans="1:1" s="95" customFormat="1" x14ac:dyDescent="0.35">
      <c r="A69" s="17"/>
    </row>
    <row r="70" spans="1:1" s="95" customFormat="1" x14ac:dyDescent="0.35">
      <c r="A70" s="17"/>
    </row>
    <row r="71" spans="1:1" s="95" customFormat="1" x14ac:dyDescent="0.35">
      <c r="A71" s="17"/>
    </row>
    <row r="72" spans="1:1" s="95" customFormat="1" x14ac:dyDescent="0.35">
      <c r="A72" s="17"/>
    </row>
    <row r="73" spans="1:1" s="95" customFormat="1" x14ac:dyDescent="0.35">
      <c r="A73" s="17"/>
    </row>
    <row r="74" spans="1:1" s="95" customFormat="1" x14ac:dyDescent="0.35">
      <c r="A74" s="17"/>
    </row>
    <row r="75" spans="1:1" s="95" customFormat="1" x14ac:dyDescent="0.35">
      <c r="A75" s="17"/>
    </row>
    <row r="76" spans="1:1" s="95" customFormat="1" x14ac:dyDescent="0.35">
      <c r="A76" s="17"/>
    </row>
    <row r="77" spans="1:1" s="95" customFormat="1" x14ac:dyDescent="0.35">
      <c r="A77" s="17"/>
    </row>
    <row r="78" spans="1:1" s="95" customFormat="1" x14ac:dyDescent="0.35">
      <c r="A78" s="17"/>
    </row>
    <row r="79" spans="1:1" s="95" customFormat="1" x14ac:dyDescent="0.35">
      <c r="A79" s="17"/>
    </row>
    <row r="80" spans="1:1" s="95" customFormat="1" x14ac:dyDescent="0.35">
      <c r="A80" s="17"/>
    </row>
    <row r="81" spans="1:29" s="95" customFormat="1" x14ac:dyDescent="0.35">
      <c r="A81" s="17"/>
    </row>
    <row r="82" spans="1:29" s="95" customFormat="1" x14ac:dyDescent="0.35">
      <c r="A82" s="17"/>
    </row>
    <row r="83" spans="1:29" s="95" customFormat="1" x14ac:dyDescent="0.35">
      <c r="A83" s="17"/>
    </row>
    <row r="84" spans="1:29" s="95" customFormat="1" x14ac:dyDescent="0.35">
      <c r="A84" s="17"/>
    </row>
    <row r="85" spans="1:29" s="95" customFormat="1" x14ac:dyDescent="0.35">
      <c r="A85" s="17"/>
    </row>
    <row r="86" spans="1:29" s="95" customFormat="1" x14ac:dyDescent="0.35">
      <c r="A86" s="17"/>
    </row>
    <row r="87" spans="1:29" s="95" customFormat="1" x14ac:dyDescent="0.35">
      <c r="A87" s="17"/>
    </row>
    <row r="88" spans="1:29" s="95" customFormat="1" x14ac:dyDescent="0.35">
      <c r="A88" s="17"/>
    </row>
    <row r="89" spans="1:29" s="17" customFormat="1" x14ac:dyDescent="0.35"/>
    <row r="90" spans="1:29" s="17" customFormat="1" x14ac:dyDescent="0.35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</row>
    <row r="91" spans="1:29" s="17" customFormat="1" x14ac:dyDescent="0.35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</row>
    <row r="92" spans="1:29" s="17" customFormat="1" x14ac:dyDescent="0.35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</row>
    <row r="93" spans="1:29" s="17" customFormat="1" x14ac:dyDescent="0.35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</row>
    <row r="94" spans="1:29" s="17" customFormat="1" x14ac:dyDescent="0.35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</row>
    <row r="95" spans="1:29" s="17" customFormat="1" x14ac:dyDescent="0.35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</row>
    <row r="96" spans="1:29" s="17" customFormat="1" x14ac:dyDescent="0.35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</row>
    <row r="97" spans="2:29" s="17" customFormat="1" x14ac:dyDescent="0.35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</row>
    <row r="98" spans="2:29" s="17" customFormat="1" x14ac:dyDescent="0.35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</row>
    <row r="99" spans="2:29" s="17" customFormat="1" x14ac:dyDescent="0.35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</row>
    <row r="100" spans="2:29" s="17" customFormat="1" x14ac:dyDescent="0.35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</row>
    <row r="101" spans="2:29" s="17" customFormat="1" x14ac:dyDescent="0.35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</row>
    <row r="102" spans="2:29" s="17" customFormat="1" x14ac:dyDescent="0.35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</row>
    <row r="103" spans="2:29" s="17" customFormat="1" x14ac:dyDescent="0.35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</row>
    <row r="104" spans="2:29" s="17" customFormat="1" x14ac:dyDescent="0.35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</row>
    <row r="105" spans="2:29" s="17" customFormat="1" x14ac:dyDescent="0.35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</row>
    <row r="106" spans="2:29" s="17" customFormat="1" x14ac:dyDescent="0.35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</row>
    <row r="107" spans="2:29" s="17" customFormat="1" x14ac:dyDescent="0.35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</row>
    <row r="108" spans="2:29" s="17" customFormat="1" x14ac:dyDescent="0.35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</row>
    <row r="109" spans="2:29" s="17" customFormat="1" x14ac:dyDescent="0.35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</row>
    <row r="110" spans="2:29" s="17" customFormat="1" x14ac:dyDescent="0.35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</row>
    <row r="111" spans="2:29" s="17" customFormat="1" x14ac:dyDescent="0.35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</row>
    <row r="112" spans="2:29" s="17" customFormat="1" x14ac:dyDescent="0.35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</row>
    <row r="113" spans="2:29" s="17" customFormat="1" x14ac:dyDescent="0.35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</row>
    <row r="114" spans="2:29" s="17" customFormat="1" x14ac:dyDescent="0.35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</row>
    <row r="115" spans="2:29" s="17" customFormat="1" x14ac:dyDescent="0.35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</row>
    <row r="116" spans="2:29" s="17" customFormat="1" x14ac:dyDescent="0.35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</row>
    <row r="117" spans="2:29" s="17" customFormat="1" x14ac:dyDescent="0.35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</row>
    <row r="118" spans="2:29" s="17" customFormat="1" x14ac:dyDescent="0.35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</row>
    <row r="119" spans="2:29" s="17" customFormat="1" x14ac:dyDescent="0.35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</row>
    <row r="120" spans="2:29" s="17" customFormat="1" x14ac:dyDescent="0.35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</row>
    <row r="121" spans="2:29" s="17" customFormat="1" x14ac:dyDescent="0.35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</row>
    <row r="122" spans="2:29" s="17" customFormat="1" x14ac:dyDescent="0.35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</row>
    <row r="123" spans="2:29" s="17" customFormat="1" x14ac:dyDescent="0.35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</row>
    <row r="124" spans="2:29" s="17" customFormat="1" x14ac:dyDescent="0.35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</row>
    <row r="125" spans="2:29" s="17" customFormat="1" x14ac:dyDescent="0.35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</row>
    <row r="126" spans="2:29" s="17" customFormat="1" x14ac:dyDescent="0.35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</row>
    <row r="127" spans="2:29" s="17" customFormat="1" x14ac:dyDescent="0.35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</row>
    <row r="128" spans="2:29" s="17" customFormat="1" x14ac:dyDescent="0.35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</row>
    <row r="129" spans="2:29" s="17" customFormat="1" x14ac:dyDescent="0.35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</row>
    <row r="130" spans="2:29" s="17" customFormat="1" x14ac:dyDescent="0.35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</row>
    <row r="131" spans="2:29" s="17" customFormat="1" x14ac:dyDescent="0.35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</row>
    <row r="132" spans="2:29" s="17" customFormat="1" x14ac:dyDescent="0.35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</row>
    <row r="133" spans="2:29" s="17" customFormat="1" x14ac:dyDescent="0.35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</row>
    <row r="134" spans="2:29" s="17" customFormat="1" x14ac:dyDescent="0.35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</row>
    <row r="135" spans="2:29" s="17" customFormat="1" x14ac:dyDescent="0.35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</row>
    <row r="136" spans="2:29" s="17" customFormat="1" x14ac:dyDescent="0.35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</row>
    <row r="137" spans="2:29" s="17" customFormat="1" x14ac:dyDescent="0.35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</row>
    <row r="138" spans="2:29" s="17" customFormat="1" x14ac:dyDescent="0.35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</row>
    <row r="139" spans="2:29" s="17" customFormat="1" x14ac:dyDescent="0.35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</row>
    <row r="140" spans="2:29" s="17" customFormat="1" x14ac:dyDescent="0.35"/>
    <row r="141" spans="2:29" s="17" customFormat="1" x14ac:dyDescent="0.35"/>
    <row r="142" spans="2:29" s="97" customFormat="1" ht="25.5" customHeight="1" x14ac:dyDescent="0.35">
      <c r="B142" s="98" t="s">
        <v>4</v>
      </c>
    </row>
    <row r="143" spans="2:29" s="17" customFormat="1" x14ac:dyDescent="0.35"/>
    <row r="144" spans="2:29" s="17" customFormat="1" x14ac:dyDescent="0.35"/>
    <row r="145" spans="2:28" s="17" customFormat="1" x14ac:dyDescent="0.35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</row>
    <row r="146" spans="2:28" s="17" customFormat="1" x14ac:dyDescent="0.35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</row>
    <row r="147" spans="2:28" s="17" customFormat="1" x14ac:dyDescent="0.35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</row>
    <row r="148" spans="2:28" s="17" customFormat="1" x14ac:dyDescent="0.35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</row>
    <row r="149" spans="2:28" s="17" customFormat="1" x14ac:dyDescent="0.35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</row>
    <row r="150" spans="2:28" s="17" customFormat="1" x14ac:dyDescent="0.35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</row>
    <row r="151" spans="2:28" s="17" customFormat="1" x14ac:dyDescent="0.35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</row>
    <row r="152" spans="2:28" s="17" customFormat="1" x14ac:dyDescent="0.35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</row>
    <row r="153" spans="2:28" s="17" customFormat="1" x14ac:dyDescent="0.35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</row>
    <row r="154" spans="2:28" s="17" customFormat="1" x14ac:dyDescent="0.35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</row>
    <row r="155" spans="2:28" s="17" customFormat="1" x14ac:dyDescent="0.35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</row>
    <row r="156" spans="2:28" s="17" customFormat="1" x14ac:dyDescent="0.35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</row>
    <row r="157" spans="2:28" s="17" customFormat="1" x14ac:dyDescent="0.35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</row>
    <row r="158" spans="2:28" s="17" customFormat="1" x14ac:dyDescent="0.35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</row>
    <row r="159" spans="2:28" s="17" customFormat="1" x14ac:dyDescent="0.35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</row>
    <row r="160" spans="2:28" s="17" customFormat="1" x14ac:dyDescent="0.35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</row>
    <row r="161" spans="2:28" s="17" customFormat="1" x14ac:dyDescent="0.35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</row>
    <row r="162" spans="2:28" s="17" customFormat="1" x14ac:dyDescent="0.35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</row>
    <row r="163" spans="2:28" s="17" customFormat="1" x14ac:dyDescent="0.35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</row>
    <row r="164" spans="2:28" s="17" customFormat="1" x14ac:dyDescent="0.35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</row>
    <row r="165" spans="2:28" s="17" customFormat="1" x14ac:dyDescent="0.35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</row>
    <row r="166" spans="2:28" s="17" customFormat="1" x14ac:dyDescent="0.35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</row>
    <row r="167" spans="2:28" s="17" customFormat="1" x14ac:dyDescent="0.35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</row>
    <row r="168" spans="2:28" s="17" customFormat="1" x14ac:dyDescent="0.35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</row>
    <row r="169" spans="2:28" s="17" customFormat="1" x14ac:dyDescent="0.35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</row>
    <row r="170" spans="2:28" s="17" customFormat="1" x14ac:dyDescent="0.35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</row>
    <row r="171" spans="2:28" s="17" customFormat="1" x14ac:dyDescent="0.35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</row>
    <row r="172" spans="2:28" s="17" customFormat="1" x14ac:dyDescent="0.35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</row>
    <row r="173" spans="2:28" s="17" customFormat="1" x14ac:dyDescent="0.35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</row>
    <row r="174" spans="2:28" s="17" customFormat="1" x14ac:dyDescent="0.35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</row>
    <row r="175" spans="2:28" s="17" customFormat="1" x14ac:dyDescent="0.35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</row>
    <row r="176" spans="2:28" s="17" customFormat="1" x14ac:dyDescent="0.35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</row>
    <row r="177" spans="2:28" s="17" customFormat="1" x14ac:dyDescent="0.35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</row>
    <row r="178" spans="2:28" s="17" customFormat="1" x14ac:dyDescent="0.35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</row>
    <row r="179" spans="2:28" s="17" customFormat="1" x14ac:dyDescent="0.35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</row>
    <row r="180" spans="2:28" s="17" customFormat="1" x14ac:dyDescent="0.35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</row>
    <row r="181" spans="2:28" s="17" customFormat="1" x14ac:dyDescent="0.35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</row>
    <row r="182" spans="2:28" s="17" customFormat="1" x14ac:dyDescent="0.35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</row>
    <row r="183" spans="2:28" s="17" customFormat="1" x14ac:dyDescent="0.35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</row>
    <row r="184" spans="2:28" s="17" customFormat="1" x14ac:dyDescent="0.35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</row>
    <row r="185" spans="2:28" s="17" customFormat="1" x14ac:dyDescent="0.35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</row>
    <row r="186" spans="2:28" s="17" customFormat="1" x14ac:dyDescent="0.35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</row>
    <row r="187" spans="2:28" s="17" customFormat="1" x14ac:dyDescent="0.35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</row>
    <row r="188" spans="2:28" s="17" customFormat="1" x14ac:dyDescent="0.35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</row>
    <row r="189" spans="2:28" s="17" customFormat="1" x14ac:dyDescent="0.35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</row>
    <row r="190" spans="2:28" s="17" customFormat="1" x14ac:dyDescent="0.35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</row>
    <row r="191" spans="2:28" s="17" customFormat="1" x14ac:dyDescent="0.35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</row>
    <row r="192" spans="2:28" s="17" customFormat="1" x14ac:dyDescent="0.35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</row>
    <row r="193" spans="2:28" s="17" customFormat="1" x14ac:dyDescent="0.35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</row>
    <row r="194" spans="2:28" s="17" customFormat="1" x14ac:dyDescent="0.35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</row>
    <row r="195" spans="2:28" s="17" customFormat="1" x14ac:dyDescent="0.35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</row>
    <row r="196" spans="2:28" s="17" customFormat="1" ht="20.25" customHeight="1" x14ac:dyDescent="0.35"/>
    <row r="197" spans="2:28" s="17" customFormat="1" x14ac:dyDescent="0.35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</row>
    <row r="198" spans="2:28" s="17" customFormat="1" x14ac:dyDescent="0.35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</row>
    <row r="199" spans="2:28" s="17" customFormat="1" x14ac:dyDescent="0.35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</row>
    <row r="200" spans="2:28" s="17" customFormat="1" x14ac:dyDescent="0.35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</row>
    <row r="201" spans="2:28" s="17" customFormat="1" x14ac:dyDescent="0.35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</row>
    <row r="202" spans="2:28" s="17" customFormat="1" x14ac:dyDescent="0.35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</row>
    <row r="203" spans="2:28" s="17" customFormat="1" x14ac:dyDescent="0.35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</row>
    <row r="204" spans="2:28" s="17" customFormat="1" x14ac:dyDescent="0.35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</row>
    <row r="205" spans="2:28" s="17" customFormat="1" x14ac:dyDescent="0.35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</row>
    <row r="206" spans="2:28" s="17" customFormat="1" x14ac:dyDescent="0.35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</row>
    <row r="207" spans="2:28" s="17" customFormat="1" x14ac:dyDescent="0.35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</row>
    <row r="208" spans="2:28" s="17" customFormat="1" x14ac:dyDescent="0.35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</row>
    <row r="209" spans="2:28" s="17" customFormat="1" x14ac:dyDescent="0.35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</row>
    <row r="210" spans="2:28" s="17" customFormat="1" x14ac:dyDescent="0.35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</row>
    <row r="211" spans="2:28" s="17" customFormat="1" x14ac:dyDescent="0.35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</row>
    <row r="212" spans="2:28" s="17" customFormat="1" x14ac:dyDescent="0.35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</row>
    <row r="213" spans="2:28" s="17" customFormat="1" x14ac:dyDescent="0.35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</row>
    <row r="214" spans="2:28" s="17" customFormat="1" x14ac:dyDescent="0.35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</row>
    <row r="215" spans="2:28" s="17" customFormat="1" x14ac:dyDescent="0.35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</row>
    <row r="216" spans="2:28" s="17" customFormat="1" x14ac:dyDescent="0.35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</row>
    <row r="217" spans="2:28" s="17" customFormat="1" x14ac:dyDescent="0.35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</row>
    <row r="218" spans="2:28" s="17" customFormat="1" x14ac:dyDescent="0.35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</row>
    <row r="219" spans="2:28" s="17" customFormat="1" x14ac:dyDescent="0.35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</row>
    <row r="220" spans="2:28" s="17" customFormat="1" x14ac:dyDescent="0.35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</row>
    <row r="221" spans="2:28" s="17" customFormat="1" x14ac:dyDescent="0.35"/>
    <row r="222" spans="2:28" s="17" customFormat="1" x14ac:dyDescent="0.35"/>
    <row r="223" spans="2:28" s="17" customFormat="1" x14ac:dyDescent="0.35"/>
    <row r="224" spans="2:28" s="17" customFormat="1" hidden="1" x14ac:dyDescent="0.35"/>
    <row r="225" s="17" customFormat="1" hidden="1" x14ac:dyDescent="0.35"/>
    <row r="226" s="17" customFormat="1" hidden="1" x14ac:dyDescent="0.35"/>
    <row r="227" s="17" customFormat="1" hidden="1" x14ac:dyDescent="0.35"/>
    <row r="228" s="17" customFormat="1" hidden="1" x14ac:dyDescent="0.35"/>
    <row r="229" s="17" customFormat="1" hidden="1" x14ac:dyDescent="0.35"/>
    <row r="230" s="17" customFormat="1" hidden="1" x14ac:dyDescent="0.35"/>
    <row r="231" s="17" customFormat="1" hidden="1" x14ac:dyDescent="0.35"/>
    <row r="232" s="17" customFormat="1" hidden="1" x14ac:dyDescent="0.35"/>
    <row r="233" s="17" customFormat="1" hidden="1" x14ac:dyDescent="0.35"/>
    <row r="234" s="17" customFormat="1" hidden="1" x14ac:dyDescent="0.35"/>
    <row r="235" s="17" customFormat="1" hidden="1" x14ac:dyDescent="0.35"/>
    <row r="236" s="17" customFormat="1" hidden="1" x14ac:dyDescent="0.35"/>
    <row r="237" s="17" customFormat="1" hidden="1" x14ac:dyDescent="0.35"/>
    <row r="238" s="17" customFormat="1" hidden="1" x14ac:dyDescent="0.35"/>
    <row r="239" s="17" customFormat="1" hidden="1" x14ac:dyDescent="0.35"/>
    <row r="240" s="17" customFormat="1" hidden="1" x14ac:dyDescent="0.35"/>
    <row r="241" s="17" customFormat="1" hidden="1" x14ac:dyDescent="0.35"/>
    <row r="242" s="17" customFormat="1" hidden="1" x14ac:dyDescent="0.35"/>
    <row r="243" s="17" customFormat="1" hidden="1" x14ac:dyDescent="0.35"/>
    <row r="244" s="17" customFormat="1" hidden="1" x14ac:dyDescent="0.35"/>
    <row r="245" s="17" customFormat="1" hidden="1" x14ac:dyDescent="0.35"/>
    <row r="246" s="17" customFormat="1" hidden="1" x14ac:dyDescent="0.35"/>
    <row r="247" s="17" customFormat="1" hidden="1" x14ac:dyDescent="0.35"/>
    <row r="248" s="17" customFormat="1" hidden="1" x14ac:dyDescent="0.35"/>
    <row r="249" s="17" customFormat="1" hidden="1" x14ac:dyDescent="0.35"/>
    <row r="250" s="17" customFormat="1" hidden="1" x14ac:dyDescent="0.35"/>
    <row r="251" s="17" customFormat="1" hidden="1" x14ac:dyDescent="0.35"/>
    <row r="252" s="17" customFormat="1" hidden="1" x14ac:dyDescent="0.35"/>
    <row r="253" s="17" customFormat="1" hidden="1" x14ac:dyDescent="0.35"/>
    <row r="254" s="17" customFormat="1" hidden="1" x14ac:dyDescent="0.35"/>
    <row r="255" s="17" customFormat="1" hidden="1" x14ac:dyDescent="0.35"/>
    <row r="256" s="17" customFormat="1" hidden="1" x14ac:dyDescent="0.35"/>
    <row r="257" s="17" customFormat="1" hidden="1" x14ac:dyDescent="0.35"/>
    <row r="258" s="17" customFormat="1" hidden="1" x14ac:dyDescent="0.35"/>
    <row r="259" s="17" customFormat="1" hidden="1" x14ac:dyDescent="0.35"/>
    <row r="260" s="17" customFormat="1" hidden="1" x14ac:dyDescent="0.35"/>
    <row r="261" s="17" customFormat="1" hidden="1" x14ac:dyDescent="0.35"/>
    <row r="262" s="17" customFormat="1" hidden="1" x14ac:dyDescent="0.35"/>
    <row r="263" s="17" customFormat="1" hidden="1" x14ac:dyDescent="0.35"/>
    <row r="264" s="17" customFormat="1" hidden="1" x14ac:dyDescent="0.35"/>
    <row r="265" s="17" customFormat="1" hidden="1" x14ac:dyDescent="0.35"/>
    <row r="266" s="17" customFormat="1" hidden="1" x14ac:dyDescent="0.35"/>
    <row r="267" s="17" customFormat="1" hidden="1" x14ac:dyDescent="0.35"/>
    <row r="268" s="17" customFormat="1" hidden="1" x14ac:dyDescent="0.35"/>
    <row r="269" s="17" customFormat="1" hidden="1" x14ac:dyDescent="0.35"/>
    <row r="270" s="17" customFormat="1" hidden="1" x14ac:dyDescent="0.35"/>
    <row r="271" s="17" customFormat="1" hidden="1" x14ac:dyDescent="0.35"/>
    <row r="272" s="17" customFormat="1" hidden="1" x14ac:dyDescent="0.35"/>
    <row r="273" s="17" customFormat="1" hidden="1" x14ac:dyDescent="0.35"/>
    <row r="274" s="17" customFormat="1" hidden="1" x14ac:dyDescent="0.35"/>
    <row r="275" s="17" customFormat="1" hidden="1" x14ac:dyDescent="0.35"/>
    <row r="276" s="17" customFormat="1" hidden="1" x14ac:dyDescent="0.35"/>
    <row r="277" s="17" customFormat="1" hidden="1" x14ac:dyDescent="0.35"/>
    <row r="278" s="17" customFormat="1" hidden="1" x14ac:dyDescent="0.35"/>
    <row r="279" s="17" customFormat="1" hidden="1" x14ac:dyDescent="0.35"/>
    <row r="280" s="17" customFormat="1" hidden="1" x14ac:dyDescent="0.35"/>
    <row r="281" s="17" customFormat="1" hidden="1" x14ac:dyDescent="0.35"/>
    <row r="282" s="17" customFormat="1" hidden="1" x14ac:dyDescent="0.35"/>
    <row r="283" s="17" customFormat="1" hidden="1" x14ac:dyDescent="0.35"/>
    <row r="284" s="17" customFormat="1" hidden="1" x14ac:dyDescent="0.35"/>
    <row r="285" s="17" customFormat="1" hidden="1" x14ac:dyDescent="0.35"/>
    <row r="286" s="17" customFormat="1" hidden="1" x14ac:dyDescent="0.35"/>
    <row r="287" s="17" customFormat="1" hidden="1" x14ac:dyDescent="0.35"/>
    <row r="288" s="17" customFormat="1" hidden="1" x14ac:dyDescent="0.35"/>
    <row r="289" s="17" customFormat="1" hidden="1" x14ac:dyDescent="0.35"/>
    <row r="290" s="17" customFormat="1" hidden="1" x14ac:dyDescent="0.35"/>
    <row r="291" s="17" customFormat="1" hidden="1" x14ac:dyDescent="0.35"/>
    <row r="292" s="17" customFormat="1" hidden="1" x14ac:dyDescent="0.35"/>
    <row r="293" s="17" customFormat="1" hidden="1" x14ac:dyDescent="0.35"/>
    <row r="294" s="17" customFormat="1" hidden="1" x14ac:dyDescent="0.35"/>
    <row r="295" s="17" customFormat="1" hidden="1" x14ac:dyDescent="0.35"/>
    <row r="296" s="17" customFormat="1" hidden="1" x14ac:dyDescent="0.35"/>
    <row r="297" s="17" customFormat="1" hidden="1" x14ac:dyDescent="0.35"/>
    <row r="298" s="17" customFormat="1" hidden="1" x14ac:dyDescent="0.35"/>
    <row r="299" s="17" customFormat="1" hidden="1" x14ac:dyDescent="0.35"/>
    <row r="300" s="17" customFormat="1" hidden="1" x14ac:dyDescent="0.35"/>
    <row r="301" s="17" customFormat="1" hidden="1" x14ac:dyDescent="0.35"/>
    <row r="302" s="17" customFormat="1" hidden="1" x14ac:dyDescent="0.35"/>
    <row r="303" s="17" customFormat="1" hidden="1" x14ac:dyDescent="0.35"/>
    <row r="304" s="17" customFormat="1" hidden="1" x14ac:dyDescent="0.35"/>
    <row r="305" s="17" customFormat="1" hidden="1" x14ac:dyDescent="0.35"/>
    <row r="306" s="17" customFormat="1" hidden="1" x14ac:dyDescent="0.35"/>
    <row r="307" s="17" customFormat="1" hidden="1" x14ac:dyDescent="0.35"/>
    <row r="308" s="17" customFormat="1" hidden="1" x14ac:dyDescent="0.35"/>
    <row r="309" s="17" customFormat="1" hidden="1" x14ac:dyDescent="0.35"/>
    <row r="310" s="17" customFormat="1" hidden="1" x14ac:dyDescent="0.35"/>
    <row r="311" s="17" customFormat="1" hidden="1" x14ac:dyDescent="0.35"/>
    <row r="312" s="17" customFormat="1" hidden="1" x14ac:dyDescent="0.35"/>
    <row r="313" s="17" customFormat="1" hidden="1" x14ac:dyDescent="0.35"/>
    <row r="314" s="17" customFormat="1" hidden="1" x14ac:dyDescent="0.35"/>
    <row r="315" s="17" customFormat="1" hidden="1" x14ac:dyDescent="0.35"/>
    <row r="316" s="17" customFormat="1" hidden="1" x14ac:dyDescent="0.35"/>
    <row r="317" s="17" customFormat="1" hidden="1" x14ac:dyDescent="0.35"/>
    <row r="318" s="17" customFormat="1" hidden="1" x14ac:dyDescent="0.35"/>
    <row r="319" s="17" customFormat="1" hidden="1" x14ac:dyDescent="0.35"/>
    <row r="320" s="17" customFormat="1" hidden="1" x14ac:dyDescent="0.35"/>
    <row r="321" s="17" customFormat="1" hidden="1" x14ac:dyDescent="0.35"/>
    <row r="322" s="17" customFormat="1" hidden="1" x14ac:dyDescent="0.35"/>
    <row r="323" s="17" customFormat="1" hidden="1" x14ac:dyDescent="0.35"/>
    <row r="324" s="17" customFormat="1" hidden="1" x14ac:dyDescent="0.35"/>
    <row r="325" s="17" customFormat="1" hidden="1" x14ac:dyDescent="0.35"/>
    <row r="326" s="17" customFormat="1" hidden="1" x14ac:dyDescent="0.35"/>
    <row r="327" s="17" customFormat="1" hidden="1" x14ac:dyDescent="0.35"/>
    <row r="328" s="17" customFormat="1" hidden="1" x14ac:dyDescent="0.35"/>
    <row r="329" s="17" customFormat="1" hidden="1" x14ac:dyDescent="0.35"/>
    <row r="330" s="17" customFormat="1" hidden="1" x14ac:dyDescent="0.35"/>
    <row r="331" s="17" customFormat="1" hidden="1" x14ac:dyDescent="0.35"/>
    <row r="332" s="17" customFormat="1" hidden="1" x14ac:dyDescent="0.35"/>
    <row r="333" s="17" customFormat="1" hidden="1" x14ac:dyDescent="0.35"/>
    <row r="334" s="17" customFormat="1" hidden="1" x14ac:dyDescent="0.35"/>
    <row r="335" s="17" customFormat="1" hidden="1" x14ac:dyDescent="0.35"/>
    <row r="336" s="17" customFormat="1" hidden="1" x14ac:dyDescent="0.35"/>
    <row r="337" s="17" customFormat="1" hidden="1" x14ac:dyDescent="0.35"/>
    <row r="338" s="17" customFormat="1" hidden="1" x14ac:dyDescent="0.35"/>
    <row r="339" s="17" customFormat="1" hidden="1" x14ac:dyDescent="0.35"/>
    <row r="340" s="17" customFormat="1" hidden="1" x14ac:dyDescent="0.35"/>
    <row r="341" s="17" customFormat="1" hidden="1" x14ac:dyDescent="0.35"/>
    <row r="342" s="17" customFormat="1" hidden="1" x14ac:dyDescent="0.35"/>
    <row r="343" s="17" customFormat="1" hidden="1" x14ac:dyDescent="0.35"/>
    <row r="344" s="17" customFormat="1" hidden="1" x14ac:dyDescent="0.35"/>
    <row r="345" s="17" customFormat="1" hidden="1" x14ac:dyDescent="0.35"/>
    <row r="346" s="17" customFormat="1" hidden="1" x14ac:dyDescent="0.35"/>
    <row r="347" s="17" customFormat="1" hidden="1" x14ac:dyDescent="0.35"/>
    <row r="348" s="17" customFormat="1" hidden="1" x14ac:dyDescent="0.35"/>
    <row r="349" s="17" customFormat="1" hidden="1" x14ac:dyDescent="0.35"/>
    <row r="350" s="17" customFormat="1" hidden="1" x14ac:dyDescent="0.35"/>
    <row r="351" s="17" customFormat="1" hidden="1" x14ac:dyDescent="0.35"/>
    <row r="352" s="17" customFormat="1" hidden="1" x14ac:dyDescent="0.35"/>
    <row r="353" s="17" customFormat="1" hidden="1" x14ac:dyDescent="0.35"/>
    <row r="354" s="17" customFormat="1" hidden="1" x14ac:dyDescent="0.35"/>
    <row r="355" s="17" customFormat="1" hidden="1" x14ac:dyDescent="0.35"/>
    <row r="356" s="17" customFormat="1" hidden="1" x14ac:dyDescent="0.35"/>
    <row r="357" s="17" customFormat="1" hidden="1" x14ac:dyDescent="0.35"/>
    <row r="358" s="17" customFormat="1" hidden="1" x14ac:dyDescent="0.35"/>
    <row r="359" s="17" customFormat="1" hidden="1" x14ac:dyDescent="0.35"/>
    <row r="360" s="17" customFormat="1" hidden="1" x14ac:dyDescent="0.35"/>
    <row r="361" s="17" customFormat="1" hidden="1" x14ac:dyDescent="0.35"/>
    <row r="362" s="17" customFormat="1" hidden="1" x14ac:dyDescent="0.35"/>
    <row r="363" s="17" customFormat="1" hidden="1" x14ac:dyDescent="0.35"/>
    <row r="364" s="17" customFormat="1" hidden="1" x14ac:dyDescent="0.35"/>
    <row r="365" s="17" customFormat="1" hidden="1" x14ac:dyDescent="0.35"/>
    <row r="366" s="17" customFormat="1" hidden="1" x14ac:dyDescent="0.35"/>
    <row r="367" s="17" customFormat="1" hidden="1" x14ac:dyDescent="0.35"/>
    <row r="368" s="17" customFormat="1" hidden="1" x14ac:dyDescent="0.35"/>
    <row r="369" s="17" customFormat="1" hidden="1" x14ac:dyDescent="0.35"/>
    <row r="370" s="17" customFormat="1" hidden="1" x14ac:dyDescent="0.35"/>
    <row r="371" s="17" customFormat="1" hidden="1" x14ac:dyDescent="0.35"/>
    <row r="372" s="17" customFormat="1" hidden="1" x14ac:dyDescent="0.35"/>
    <row r="373" s="17" customFormat="1" hidden="1" x14ac:dyDescent="0.35"/>
    <row r="374" s="17" customFormat="1" hidden="1" x14ac:dyDescent="0.35"/>
    <row r="375" s="17" customFormat="1" hidden="1" x14ac:dyDescent="0.35"/>
    <row r="376" s="17" customFormat="1" hidden="1" x14ac:dyDescent="0.35"/>
    <row r="377" s="17" customFormat="1" hidden="1" x14ac:dyDescent="0.35"/>
    <row r="378" s="17" customFormat="1" hidden="1" x14ac:dyDescent="0.35"/>
    <row r="379" s="17" customFormat="1" hidden="1" x14ac:dyDescent="0.35"/>
    <row r="380" s="17" customFormat="1" hidden="1" x14ac:dyDescent="0.35"/>
    <row r="381" s="17" customFormat="1" hidden="1" x14ac:dyDescent="0.35"/>
    <row r="382" s="17" customFormat="1" hidden="1" x14ac:dyDescent="0.35"/>
    <row r="383" s="17" customFormat="1" hidden="1" x14ac:dyDescent="0.35"/>
    <row r="384" s="17" customFormat="1" hidden="1" x14ac:dyDescent="0.35"/>
    <row r="385" s="17" customFormat="1" hidden="1" x14ac:dyDescent="0.35"/>
    <row r="386" s="17" customFormat="1" hidden="1" x14ac:dyDescent="0.35"/>
    <row r="387" s="17" customFormat="1" hidden="1" x14ac:dyDescent="0.35"/>
    <row r="388" s="17" customFormat="1" hidden="1" x14ac:dyDescent="0.35"/>
    <row r="389" s="17" customFormat="1" hidden="1" x14ac:dyDescent="0.35"/>
    <row r="390" s="17" customFormat="1" hidden="1" x14ac:dyDescent="0.35"/>
    <row r="391" s="17" customFormat="1" hidden="1" x14ac:dyDescent="0.35"/>
    <row r="392" s="17" customFormat="1" hidden="1" x14ac:dyDescent="0.35"/>
    <row r="393" s="17" customFormat="1" hidden="1" x14ac:dyDescent="0.35"/>
    <row r="394" s="17" customFormat="1" hidden="1" x14ac:dyDescent="0.35"/>
    <row r="395" s="17" customFormat="1" hidden="1" x14ac:dyDescent="0.35"/>
    <row r="396" s="17" customFormat="1" hidden="1" x14ac:dyDescent="0.35"/>
    <row r="397" s="17" customFormat="1" hidden="1" x14ac:dyDescent="0.35"/>
    <row r="398" s="17" customFormat="1" hidden="1" x14ac:dyDescent="0.35"/>
    <row r="399" s="17" customFormat="1" hidden="1" x14ac:dyDescent="0.35"/>
    <row r="400" s="17" customFormat="1" hidden="1" x14ac:dyDescent="0.35"/>
    <row r="401" s="17" customFormat="1" hidden="1" x14ac:dyDescent="0.35"/>
    <row r="402" s="17" customFormat="1" hidden="1" x14ac:dyDescent="0.35"/>
    <row r="403" s="17" customFormat="1" hidden="1" x14ac:dyDescent="0.35"/>
    <row r="404" s="17" customFormat="1" hidden="1" x14ac:dyDescent="0.35"/>
    <row r="405" s="17" customFormat="1" hidden="1" x14ac:dyDescent="0.35"/>
    <row r="406" s="17" customFormat="1" hidden="1" x14ac:dyDescent="0.35"/>
    <row r="407" s="17" customFormat="1" hidden="1" x14ac:dyDescent="0.35"/>
    <row r="408" s="17" customFormat="1" hidden="1" x14ac:dyDescent="0.35"/>
    <row r="409" s="17" customFormat="1" hidden="1" x14ac:dyDescent="0.35"/>
    <row r="410" s="17" customFormat="1" hidden="1" x14ac:dyDescent="0.35"/>
    <row r="411" s="17" customFormat="1" hidden="1" x14ac:dyDescent="0.35"/>
    <row r="412" s="17" customFormat="1" hidden="1" x14ac:dyDescent="0.35"/>
    <row r="413" s="17" customFormat="1" hidden="1" x14ac:dyDescent="0.35"/>
    <row r="414" s="17" customFormat="1" hidden="1" x14ac:dyDescent="0.35"/>
    <row r="415" s="17" customFormat="1" hidden="1" x14ac:dyDescent="0.35"/>
    <row r="416" s="17" customFormat="1" hidden="1" x14ac:dyDescent="0.35"/>
    <row r="417" s="17" customFormat="1" hidden="1" x14ac:dyDescent="0.35"/>
    <row r="418" s="17" customFormat="1" hidden="1" x14ac:dyDescent="0.35"/>
    <row r="419" s="17" customFormat="1" hidden="1" x14ac:dyDescent="0.35"/>
    <row r="420" s="17" customFormat="1" hidden="1" x14ac:dyDescent="0.35"/>
    <row r="421" s="17" customFormat="1" hidden="1" x14ac:dyDescent="0.35"/>
    <row r="422" s="17" customFormat="1" hidden="1" x14ac:dyDescent="0.35"/>
    <row r="423" s="17" customFormat="1" hidden="1" x14ac:dyDescent="0.35"/>
    <row r="424" s="17" customFormat="1" hidden="1" x14ac:dyDescent="0.35"/>
    <row r="425" s="17" customFormat="1" hidden="1" x14ac:dyDescent="0.35"/>
    <row r="426" s="17" customFormat="1" hidden="1" x14ac:dyDescent="0.35"/>
    <row r="427" s="17" customFormat="1" hidden="1" x14ac:dyDescent="0.35"/>
    <row r="428" s="17" customFormat="1" hidden="1" x14ac:dyDescent="0.35"/>
    <row r="429" s="17" customFormat="1" hidden="1" x14ac:dyDescent="0.35"/>
    <row r="430" s="17" customFormat="1" hidden="1" x14ac:dyDescent="0.35"/>
    <row r="431" s="17" customFormat="1" hidden="1" x14ac:dyDescent="0.35"/>
    <row r="432" s="17" customFormat="1" hidden="1" x14ac:dyDescent="0.35"/>
    <row r="433" s="17" customFormat="1" hidden="1" x14ac:dyDescent="0.35"/>
    <row r="434" s="17" customFormat="1" hidden="1" x14ac:dyDescent="0.35"/>
    <row r="435" s="17" customFormat="1" hidden="1" x14ac:dyDescent="0.35"/>
    <row r="436" s="17" customFormat="1" hidden="1" x14ac:dyDescent="0.35"/>
    <row r="437" s="17" customFormat="1" hidden="1" x14ac:dyDescent="0.35"/>
    <row r="438" s="17" customFormat="1" hidden="1" x14ac:dyDescent="0.35"/>
    <row r="439" s="17" customFormat="1" hidden="1" x14ac:dyDescent="0.35"/>
    <row r="440" s="17" customFormat="1" hidden="1" x14ac:dyDescent="0.35"/>
    <row r="441" s="17" customFormat="1" hidden="1" x14ac:dyDescent="0.35"/>
    <row r="442" s="17" customFormat="1" hidden="1" x14ac:dyDescent="0.35"/>
    <row r="443" s="17" customFormat="1" hidden="1" x14ac:dyDescent="0.35"/>
    <row r="444" s="17" customFormat="1" hidden="1" x14ac:dyDescent="0.35"/>
    <row r="445" s="17" customFormat="1" hidden="1" x14ac:dyDescent="0.35"/>
    <row r="446" s="17" customFormat="1" hidden="1" x14ac:dyDescent="0.35"/>
    <row r="447" s="17" customFormat="1" hidden="1" x14ac:dyDescent="0.35"/>
    <row r="448" s="17" customFormat="1" hidden="1" x14ac:dyDescent="0.35"/>
    <row r="449" s="17" customFormat="1" hidden="1" x14ac:dyDescent="0.35"/>
    <row r="450" s="17" customFormat="1" hidden="1" x14ac:dyDescent="0.35"/>
    <row r="451" s="17" customFormat="1" hidden="1" x14ac:dyDescent="0.35"/>
    <row r="452" s="17" customFormat="1" hidden="1" x14ac:dyDescent="0.35"/>
    <row r="453" s="17" customFormat="1" hidden="1" x14ac:dyDescent="0.35"/>
    <row r="454" ht="14.5" customHeight="1" x14ac:dyDescent="0.35"/>
    <row r="455" ht="14.5" customHeight="1" x14ac:dyDescent="0.35"/>
    <row r="456" ht="14.5" customHeight="1" x14ac:dyDescent="0.35"/>
  </sheetData>
  <sheetProtection algorithmName="SHA-512" hashValue="EF61oUaCWKDDxHvfg5PXTLQ+gC2hQbXACA7pdFKdSVXttpATDbvEOJ7oKsEpI8AcigGsSUkaZlu5qdQ5nP30mw==" saltValue="HZpliv4SC500mINQXu+99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3"/>
  <sheetViews>
    <sheetView showGridLines="0" topLeftCell="A3" zoomScale="90" zoomScaleNormal="90" workbookViewId="0">
      <selection activeCell="B3" sqref="B3"/>
    </sheetView>
  </sheetViews>
  <sheetFormatPr defaultColWidth="0" defaultRowHeight="0" customHeight="1" zeroHeight="1" x14ac:dyDescent="0.35"/>
  <cols>
    <col min="1" max="1" width="4" style="39" customWidth="1"/>
    <col min="2" max="2" width="60.1796875" style="39" customWidth="1"/>
    <col min="3" max="3" width="11.7265625" style="39" customWidth="1"/>
    <col min="4" max="4" width="7.7265625" style="39" customWidth="1"/>
    <col min="5" max="5" width="10" style="39" customWidth="1"/>
    <col min="6" max="7" width="12" style="39" customWidth="1"/>
    <col min="8" max="8" width="5.1796875" style="147" customWidth="1"/>
    <col min="9" max="9" width="6.81640625" style="39" customWidth="1"/>
    <col min="10" max="10" width="5.1796875" style="147" customWidth="1"/>
    <col min="11" max="11" width="6.81640625" style="39" customWidth="1"/>
    <col min="12" max="12" width="5.1796875" style="147" customWidth="1"/>
    <col min="13" max="13" width="6.81640625" style="39" customWidth="1"/>
    <col min="14" max="14" width="5.1796875" style="147" customWidth="1"/>
    <col min="15" max="15" width="6.81640625" style="39" customWidth="1"/>
    <col min="16" max="16" width="11.54296875" style="39" customWidth="1"/>
    <col min="17" max="17" width="5.1796875" style="147" customWidth="1"/>
    <col min="18" max="18" width="6.81640625" style="39" customWidth="1"/>
    <col min="19" max="19" width="5.1796875" style="147" customWidth="1"/>
    <col min="20" max="20" width="6.81640625" style="39" customWidth="1"/>
    <col min="21" max="21" width="5.1796875" style="147" customWidth="1"/>
    <col min="22" max="22" width="6.81640625" style="39" customWidth="1"/>
    <col min="23" max="23" width="5.1796875" style="147" customWidth="1"/>
    <col min="24" max="24" width="6.81640625" style="39" customWidth="1"/>
    <col min="25" max="25" width="11.54296875" style="39" customWidth="1"/>
    <col min="26" max="27" width="10.7265625" style="39" customWidth="1"/>
    <col min="28" max="28" width="9.1796875" style="39" customWidth="1"/>
    <col min="29" max="30" width="0" style="39" hidden="1" customWidth="1"/>
    <col min="31" max="16384" width="9.1796875" style="39" hidden="1"/>
  </cols>
  <sheetData>
    <row r="1" spans="1:28" ht="35.25" customHeight="1" x14ac:dyDescent="0.35">
      <c r="A1" s="15"/>
      <c r="B1" s="118" t="s">
        <v>127</v>
      </c>
      <c r="C1" s="100"/>
      <c r="D1" s="100"/>
      <c r="E1" s="100"/>
      <c r="F1" s="100"/>
      <c r="G1" s="100"/>
      <c r="H1" s="141"/>
      <c r="I1" s="100"/>
      <c r="J1" s="141"/>
      <c r="K1" s="100"/>
      <c r="L1" s="141"/>
      <c r="M1" s="100"/>
      <c r="N1" s="141"/>
      <c r="O1" s="100"/>
      <c r="P1" s="100"/>
      <c r="Q1" s="141"/>
      <c r="R1" s="100"/>
      <c r="S1" s="141"/>
      <c r="T1" s="100"/>
      <c r="U1" s="141"/>
      <c r="V1" s="100"/>
      <c r="W1" s="141"/>
      <c r="X1" s="100"/>
      <c r="Y1" s="100"/>
      <c r="Z1" s="100"/>
      <c r="AA1" s="100"/>
      <c r="AB1" s="100"/>
    </row>
    <row r="2" spans="1:28" s="50" customFormat="1" ht="5.15" customHeight="1" x14ac:dyDescent="0.35">
      <c r="B2" s="148"/>
      <c r="C2" s="149"/>
      <c r="D2" s="149"/>
      <c r="E2" s="149"/>
      <c r="F2" s="149"/>
      <c r="G2" s="149"/>
      <c r="H2" s="150"/>
      <c r="I2" s="149"/>
      <c r="J2" s="150"/>
      <c r="K2" s="149"/>
      <c r="L2" s="150"/>
      <c r="M2" s="149"/>
      <c r="N2" s="150"/>
      <c r="O2" s="149"/>
      <c r="P2" s="149"/>
      <c r="Q2" s="150"/>
      <c r="R2" s="149"/>
      <c r="S2" s="150"/>
      <c r="T2" s="149"/>
      <c r="U2" s="150"/>
      <c r="V2" s="149"/>
      <c r="W2" s="150"/>
      <c r="X2" s="149"/>
      <c r="Y2" s="149"/>
      <c r="AB2" s="149"/>
    </row>
    <row r="3" spans="1:28" s="114" customFormat="1" ht="31.5" customHeight="1" x14ac:dyDescent="0.45">
      <c r="B3" s="501" t="s">
        <v>121</v>
      </c>
      <c r="C3" s="115"/>
      <c r="D3" s="115"/>
      <c r="E3" s="115"/>
      <c r="F3" s="115"/>
      <c r="H3" s="142"/>
      <c r="I3" s="115"/>
      <c r="J3" s="142"/>
      <c r="K3" s="115"/>
      <c r="L3" s="142"/>
      <c r="M3" s="116"/>
      <c r="N3" s="142"/>
      <c r="O3" s="116"/>
      <c r="P3" s="116"/>
      <c r="Q3" s="142"/>
      <c r="R3" s="116"/>
      <c r="S3" s="142"/>
      <c r="T3" s="116"/>
      <c r="U3" s="142"/>
      <c r="V3" s="116"/>
      <c r="W3" s="142"/>
      <c r="X3" s="116"/>
      <c r="Y3" s="116"/>
      <c r="Z3" s="115"/>
      <c r="AA3" s="117"/>
    </row>
    <row r="4" spans="1:28" ht="35.5" customHeight="1" thickBot="1" x14ac:dyDescent="0.6">
      <c r="B4" s="152" t="s">
        <v>218</v>
      </c>
      <c r="C4" s="18"/>
      <c r="D4" s="18"/>
      <c r="E4" s="18"/>
      <c r="F4" s="51"/>
      <c r="G4" s="18"/>
      <c r="H4" s="143"/>
      <c r="I4" s="18"/>
      <c r="J4" s="143"/>
      <c r="K4" s="18"/>
      <c r="L4" s="143"/>
      <c r="M4" s="19"/>
      <c r="N4" s="143"/>
      <c r="O4" s="19"/>
      <c r="P4" s="19"/>
      <c r="Q4" s="143"/>
      <c r="R4" s="19"/>
      <c r="S4" s="143"/>
      <c r="T4" s="19"/>
      <c r="U4" s="143"/>
      <c r="V4" s="19"/>
      <c r="W4" s="143"/>
      <c r="X4" s="19"/>
      <c r="Y4" s="19"/>
      <c r="Z4" s="18"/>
      <c r="AA4" s="20"/>
    </row>
    <row r="5" spans="1:28" ht="30.75" customHeight="1" thickTop="1" thickBot="1" x14ac:dyDescent="0.4">
      <c r="B5" s="372" t="s">
        <v>18</v>
      </c>
      <c r="C5" s="373" t="s">
        <v>22</v>
      </c>
      <c r="D5" s="373" t="s">
        <v>91</v>
      </c>
      <c r="E5" s="373" t="s">
        <v>23</v>
      </c>
      <c r="F5" s="333" t="s">
        <v>28</v>
      </c>
      <c r="G5" s="334"/>
      <c r="H5" s="333" t="s">
        <v>31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3" t="s">
        <v>4</v>
      </c>
      <c r="AA5" s="334"/>
    </row>
    <row r="6" spans="1:28" ht="44.15" customHeight="1" thickTop="1" thickBot="1" x14ac:dyDescent="0.4">
      <c r="B6" s="372"/>
      <c r="C6" s="374"/>
      <c r="D6" s="374"/>
      <c r="E6" s="374"/>
      <c r="F6" s="335" t="s">
        <v>29</v>
      </c>
      <c r="G6" s="337" t="s">
        <v>30</v>
      </c>
      <c r="H6" s="333" t="s">
        <v>36</v>
      </c>
      <c r="I6" s="339"/>
      <c r="J6" s="339"/>
      <c r="K6" s="339"/>
      <c r="L6" s="339"/>
      <c r="M6" s="339"/>
      <c r="N6" s="339"/>
      <c r="O6" s="339"/>
      <c r="P6" s="339"/>
      <c r="Q6" s="333" t="s">
        <v>35</v>
      </c>
      <c r="R6" s="339"/>
      <c r="S6" s="339"/>
      <c r="T6" s="339"/>
      <c r="U6" s="339"/>
      <c r="V6" s="339"/>
      <c r="W6" s="339"/>
      <c r="X6" s="339"/>
      <c r="Y6" s="339"/>
      <c r="Z6" s="335" t="s">
        <v>13</v>
      </c>
      <c r="AA6" s="337" t="s">
        <v>21</v>
      </c>
    </row>
    <row r="7" spans="1:28" ht="49.5" customHeight="1" thickTop="1" thickBot="1" x14ac:dyDescent="0.4">
      <c r="B7" s="372"/>
      <c r="C7" s="375"/>
      <c r="D7" s="375"/>
      <c r="E7" s="375"/>
      <c r="F7" s="336"/>
      <c r="G7" s="338"/>
      <c r="H7" s="340" t="s">
        <v>146</v>
      </c>
      <c r="I7" s="341"/>
      <c r="J7" s="342" t="s">
        <v>32</v>
      </c>
      <c r="K7" s="342"/>
      <c r="L7" s="342" t="s">
        <v>33</v>
      </c>
      <c r="M7" s="342"/>
      <c r="N7" s="343" t="s">
        <v>34</v>
      </c>
      <c r="O7" s="342"/>
      <c r="P7" s="266" t="s">
        <v>147</v>
      </c>
      <c r="Q7" s="340" t="s">
        <v>146</v>
      </c>
      <c r="R7" s="341"/>
      <c r="S7" s="342" t="s">
        <v>32</v>
      </c>
      <c r="T7" s="342"/>
      <c r="U7" s="342" t="s">
        <v>33</v>
      </c>
      <c r="V7" s="342"/>
      <c r="W7" s="343" t="s">
        <v>34</v>
      </c>
      <c r="X7" s="342"/>
      <c r="Y7" s="266" t="s">
        <v>147</v>
      </c>
      <c r="Z7" s="336"/>
      <c r="AA7" s="338"/>
    </row>
    <row r="8" spans="1:28" s="13" customFormat="1" ht="21.75" customHeight="1" thickTop="1" thickBot="1" x14ac:dyDescent="0.4">
      <c r="B8" s="31" t="s">
        <v>201</v>
      </c>
      <c r="C8" s="31" t="s">
        <v>24</v>
      </c>
      <c r="D8" s="73">
        <v>1</v>
      </c>
      <c r="E8" s="31" t="s">
        <v>25</v>
      </c>
      <c r="F8" s="81">
        <f>INDEX(Q3_Adult,15,7)</f>
        <v>12</v>
      </c>
      <c r="G8" s="87" t="str">
        <f>INDEX(Q3_Adult,15,8)</f>
        <v>N/A</v>
      </c>
      <c r="H8" s="244">
        <f>INDEX(Q3_Adult,15,9)</f>
        <v>700</v>
      </c>
      <c r="I8" s="234">
        <f>IFERROR(H8/P8,0)</f>
        <v>0.57424118129614443</v>
      </c>
      <c r="J8" s="235">
        <f>INDEX(Q3_Adult,15,10)</f>
        <v>258</v>
      </c>
      <c r="K8" s="234">
        <f>IFERROR(J8/P8,0)</f>
        <v>0.21164889253486463</v>
      </c>
      <c r="L8" s="235">
        <f>INDEX(Q3_Adult,15,11)</f>
        <v>195</v>
      </c>
      <c r="M8" s="234">
        <f>IFERROR(L8/P8,0)</f>
        <v>0.15996718621821165</v>
      </c>
      <c r="N8" s="235">
        <f>INDEX(Q3_Adult,15,12)</f>
        <v>66</v>
      </c>
      <c r="O8" s="234">
        <f>IFERROR(N8/P8,0)</f>
        <v>5.4142739950779326E-2</v>
      </c>
      <c r="P8" s="236">
        <f>INDEX(Q3_Adult,15,13)</f>
        <v>1219</v>
      </c>
      <c r="Q8" s="233" t="str">
        <f>INDEX(Q3_Adult,15,15)</f>
        <v>N/A</v>
      </c>
      <c r="R8" s="234">
        <f>IFERROR(Q8/Y8,0)</f>
        <v>0</v>
      </c>
      <c r="S8" s="235" t="str">
        <f>INDEX(Q3_Adult,15,16)</f>
        <v>N/A</v>
      </c>
      <c r="T8" s="234">
        <f>IFERROR(S8/Y8,0)</f>
        <v>0</v>
      </c>
      <c r="U8" s="237" t="str">
        <f>INDEX(Q3_Adult,15,17)</f>
        <v>N/A</v>
      </c>
      <c r="V8" s="234">
        <f>IFERROR(U8/Y8,0)</f>
        <v>0</v>
      </c>
      <c r="W8" s="235" t="str">
        <f>INDEX(Q3_Adult,15,18)</f>
        <v>N/A</v>
      </c>
      <c r="X8" s="234">
        <f>IFERROR(W8/Y8,0)</f>
        <v>0</v>
      </c>
      <c r="Y8" s="138">
        <f>INDEX(Q3_Adult,15,19)</f>
        <v>0</v>
      </c>
      <c r="Z8" s="83">
        <f>INDEX(Q3_Adult,15,21)</f>
        <v>0.12</v>
      </c>
      <c r="AA8" s="84" t="str">
        <f>INDEX(Q3_Adult,15,22)</f>
        <v>N/A</v>
      </c>
    </row>
    <row r="9" spans="1:28" s="13" customFormat="1" ht="21.75" customHeight="1" thickTop="1" thickBot="1" x14ac:dyDescent="0.4">
      <c r="B9" s="32" t="s">
        <v>196</v>
      </c>
      <c r="C9" s="32" t="s">
        <v>24</v>
      </c>
      <c r="D9" s="74">
        <v>2</v>
      </c>
      <c r="E9" s="32" t="s">
        <v>26</v>
      </c>
      <c r="F9" s="82">
        <f>INDEX(Q3_Adult,6,7)</f>
        <v>18</v>
      </c>
      <c r="G9" s="88">
        <f>INDEX(Q3_Adult,6,8)</f>
        <v>0</v>
      </c>
      <c r="H9" s="238">
        <f>INDEX(Q3_Adult,6,9)</f>
        <v>32</v>
      </c>
      <c r="I9" s="239">
        <f>IFERROR(H9/P9,0)</f>
        <v>0.21621621621621623</v>
      </c>
      <c r="J9" s="240">
        <f>INDEX(Q3_Adult,6,10)</f>
        <v>29</v>
      </c>
      <c r="K9" s="239">
        <f>IFERROR(J9/P9,0)</f>
        <v>0.19594594594594594</v>
      </c>
      <c r="L9" s="240">
        <f>INDEX(Q3_Adult,6,11)</f>
        <v>59</v>
      </c>
      <c r="M9" s="239">
        <f>IFERROR(L9/P9,0)</f>
        <v>0.39864864864864863</v>
      </c>
      <c r="N9" s="240">
        <f>INDEX(Q3_Adult,6,12)</f>
        <v>28</v>
      </c>
      <c r="O9" s="239">
        <f>IFERROR(N9/P9,0)</f>
        <v>0.1891891891891892</v>
      </c>
      <c r="P9" s="241">
        <f>INDEX(Q3_Adult,6,13)</f>
        <v>148</v>
      </c>
      <c r="Q9" s="242">
        <f>INDEX(Q3_Adult,6,15)</f>
        <v>0</v>
      </c>
      <c r="R9" s="239">
        <f>IFERROR(Q9/Y9,0)</f>
        <v>0</v>
      </c>
      <c r="S9" s="240">
        <f>INDEX(Q3_Adult,6,16)</f>
        <v>0</v>
      </c>
      <c r="T9" s="239">
        <f>IFERROR(S9/Y9,0)</f>
        <v>0</v>
      </c>
      <c r="U9" s="243">
        <f>INDEX(Q3_Adult,6,17)</f>
        <v>0</v>
      </c>
      <c r="V9" s="239">
        <f>IFERROR(U9/Y9,0)</f>
        <v>0</v>
      </c>
      <c r="W9" s="240">
        <f>INDEX(Q3_Adult,6,18)</f>
        <v>0</v>
      </c>
      <c r="X9" s="239">
        <f>IFERROR(W9/Y9,0)</f>
        <v>0</v>
      </c>
      <c r="Y9" s="139">
        <f>INDEX(Q3_Adult,6,19)</f>
        <v>0</v>
      </c>
      <c r="Z9" s="85">
        <f>INDEX(Q3_Adult,6,21)</f>
        <v>0.14000000000000001</v>
      </c>
      <c r="AA9" s="86">
        <f>INDEX(Q3_Adult,6,22)</f>
        <v>0</v>
      </c>
    </row>
    <row r="10" spans="1:28" s="99" customFormat="1" ht="21.75" customHeight="1" thickTop="1" thickBot="1" x14ac:dyDescent="0.4">
      <c r="B10" s="31" t="s">
        <v>195</v>
      </c>
      <c r="C10" s="31" t="s">
        <v>24</v>
      </c>
      <c r="D10" s="73">
        <v>3</v>
      </c>
      <c r="E10" s="31" t="s">
        <v>26</v>
      </c>
      <c r="F10" s="81">
        <f>INDEX(Q3_Adult,5,7)</f>
        <v>0</v>
      </c>
      <c r="G10" s="87">
        <f>INDEX(Q3_Adult,5,8)</f>
        <v>0</v>
      </c>
      <c r="H10" s="244">
        <f>INDEX(Q3_Adult,5,9)</f>
        <v>90</v>
      </c>
      <c r="I10" s="234">
        <f>IFERROR(H10/P10,0)</f>
        <v>0.24064171122994651</v>
      </c>
      <c r="J10" s="235">
        <f>INDEX(Q3_Adult,5,10)</f>
        <v>126</v>
      </c>
      <c r="K10" s="234">
        <f>IFERROR(J10/P10,0)</f>
        <v>0.33689839572192515</v>
      </c>
      <c r="L10" s="235">
        <f>INDEX(Q3_Adult,5,11)</f>
        <v>100</v>
      </c>
      <c r="M10" s="234">
        <f>IFERROR(L10/P10,0)</f>
        <v>0.26737967914438504</v>
      </c>
      <c r="N10" s="235">
        <f>INDEX(Q3_Adult,5,12)</f>
        <v>58</v>
      </c>
      <c r="O10" s="234">
        <f>IFERROR(N10/P10,0)</f>
        <v>0.15508021390374332</v>
      </c>
      <c r="P10" s="236">
        <f>INDEX(Q3_Adult,5,13)</f>
        <v>374</v>
      </c>
      <c r="Q10" s="233">
        <f>INDEX(Q3_Adult,5,15)</f>
        <v>0</v>
      </c>
      <c r="R10" s="234">
        <f>IFERROR(Q10/Y10,0)</f>
        <v>0</v>
      </c>
      <c r="S10" s="235">
        <f>INDEX(Q3_Adult,5,16)</f>
        <v>0</v>
      </c>
      <c r="T10" s="234">
        <f>IFERROR(S10/Y10,0)</f>
        <v>0</v>
      </c>
      <c r="U10" s="237">
        <f>INDEX(Q3_Adult,5,17)</f>
        <v>0</v>
      </c>
      <c r="V10" s="234">
        <f>IFERROR(U10/Y10,0)</f>
        <v>0</v>
      </c>
      <c r="W10" s="235">
        <f>INDEX(Q3_Adult,5,18)</f>
        <v>0</v>
      </c>
      <c r="X10" s="234">
        <f>IFERROR(W10/Y10,0)</f>
        <v>0</v>
      </c>
      <c r="Y10" s="138">
        <f>INDEX(Q3_Adult,5,19)</f>
        <v>0</v>
      </c>
      <c r="Z10" s="83">
        <f>INDEX(Q3_Adult,5,21)</f>
        <v>0</v>
      </c>
      <c r="AA10" s="84">
        <f>INDEX(Q3_Adult,5,22)</f>
        <v>0.09</v>
      </c>
    </row>
    <row r="11" spans="1:28" s="13" customFormat="1" ht="21.75" customHeight="1" thickTop="1" thickBot="1" x14ac:dyDescent="0.4">
      <c r="B11" s="32" t="s">
        <v>197</v>
      </c>
      <c r="C11" s="32" t="s">
        <v>24</v>
      </c>
      <c r="D11" s="74">
        <v>3</v>
      </c>
      <c r="E11" s="32" t="s">
        <v>26</v>
      </c>
      <c r="F11" s="82">
        <f>INDEX(Q3_Adult,7,7)</f>
        <v>0</v>
      </c>
      <c r="G11" s="88">
        <f>INDEX(Q3_Adult,7,8)</f>
        <v>52</v>
      </c>
      <c r="H11" s="238">
        <f>INDEX(Q3_Adult,7,9)</f>
        <v>0</v>
      </c>
      <c r="I11" s="239">
        <f t="shared" ref="I11:I25" si="0">IFERROR(H11/P11,0)</f>
        <v>0</v>
      </c>
      <c r="J11" s="240">
        <f>INDEX(Q3_Adult,7,10)</f>
        <v>0</v>
      </c>
      <c r="K11" s="239">
        <f t="shared" ref="K11:K25" si="1">IFERROR(J11/P11,0)</f>
        <v>0</v>
      </c>
      <c r="L11" s="240">
        <f>INDEX(Q3_Adult,7,11)</f>
        <v>0</v>
      </c>
      <c r="M11" s="239">
        <f t="shared" ref="M11:M25" si="2">IFERROR(L11/P11,0)</f>
        <v>0</v>
      </c>
      <c r="N11" s="240">
        <f>INDEX(Q3_Adult,7,12)</f>
        <v>0</v>
      </c>
      <c r="O11" s="239">
        <f t="shared" ref="O11:O25" si="3">IFERROR(N11/P11,0)</f>
        <v>0</v>
      </c>
      <c r="P11" s="241">
        <f>INDEX(Q3_Adult,7,13)</f>
        <v>0</v>
      </c>
      <c r="Q11" s="242">
        <f>INDEX(Q3_Adult,7,15)</f>
        <v>16</v>
      </c>
      <c r="R11" s="239">
        <f t="shared" ref="R11:R25" si="4">IFERROR(Q11/Y11,0)</f>
        <v>6.0836501901140684E-2</v>
      </c>
      <c r="S11" s="240">
        <f>INDEX(Q3_Adult,7,16)</f>
        <v>47</v>
      </c>
      <c r="T11" s="239">
        <f t="shared" ref="T11:T25" si="5">IFERROR(S11/Y11,0)</f>
        <v>0.17870722433460076</v>
      </c>
      <c r="U11" s="243">
        <f>INDEX(Q3_Adult,7,17)</f>
        <v>105</v>
      </c>
      <c r="V11" s="239">
        <f t="shared" ref="V11:V25" si="6">IFERROR(U11/Y11,0)</f>
        <v>0.39923954372623577</v>
      </c>
      <c r="W11" s="240">
        <f>INDEX(Q3_Adult,7,18)</f>
        <v>95</v>
      </c>
      <c r="X11" s="239">
        <f t="shared" ref="X11:X25" si="7">IFERROR(W11/Y11,0)</f>
        <v>0.36121673003802279</v>
      </c>
      <c r="Y11" s="139">
        <f>INDEX(Q3_Adult,7,19)</f>
        <v>263</v>
      </c>
      <c r="Z11" s="85">
        <f>INDEX(Q3_Adult,7,21)</f>
        <v>0</v>
      </c>
      <c r="AA11" s="86">
        <f>INDEX(Q3_Adult,7,22)</f>
        <v>0.09</v>
      </c>
    </row>
    <row r="12" spans="1:28" s="13" customFormat="1" ht="21.75" customHeight="1" thickTop="1" thickBot="1" x14ac:dyDescent="0.4">
      <c r="B12" s="31" t="s">
        <v>198</v>
      </c>
      <c r="C12" s="31" t="s">
        <v>24</v>
      </c>
      <c r="D12" s="73">
        <v>3</v>
      </c>
      <c r="E12" s="31" t="s">
        <v>26</v>
      </c>
      <c r="F12" s="81">
        <f>INDEX(Q3_Adult,8,7)</f>
        <v>0</v>
      </c>
      <c r="G12" s="87">
        <f>INDEX(Q3_Adult,8,8)</f>
        <v>0</v>
      </c>
      <c r="H12" s="244">
        <f>INDEX(Q3_Adult,8,9)</f>
        <v>0</v>
      </c>
      <c r="I12" s="234">
        <f t="shared" si="0"/>
        <v>0</v>
      </c>
      <c r="J12" s="235">
        <f>INDEX(Q3_Adult,8,10)</f>
        <v>0</v>
      </c>
      <c r="K12" s="234">
        <f t="shared" si="1"/>
        <v>0</v>
      </c>
      <c r="L12" s="235">
        <f>INDEX(Q3_Adult,8,11)</f>
        <v>0</v>
      </c>
      <c r="M12" s="234">
        <f t="shared" si="2"/>
        <v>0</v>
      </c>
      <c r="N12" s="235">
        <f>INDEX(Q3_Adult,8,12)</f>
        <v>0</v>
      </c>
      <c r="O12" s="234">
        <f t="shared" si="3"/>
        <v>0</v>
      </c>
      <c r="P12" s="236">
        <f>INDEX(Q3_Adult,8,13)</f>
        <v>0</v>
      </c>
      <c r="Q12" s="233">
        <f>INDEX(Q3_Adult,8,15)</f>
        <v>0</v>
      </c>
      <c r="R12" s="234">
        <f t="shared" si="4"/>
        <v>0</v>
      </c>
      <c r="S12" s="235">
        <f>INDEX(Q3_Adult,8,16)</f>
        <v>0</v>
      </c>
      <c r="T12" s="234">
        <f t="shared" si="5"/>
        <v>0</v>
      </c>
      <c r="U12" s="237">
        <f>INDEX(Q3_Adult,8,17)</f>
        <v>0</v>
      </c>
      <c r="V12" s="234">
        <f t="shared" si="6"/>
        <v>0</v>
      </c>
      <c r="W12" s="235">
        <f>INDEX(Q3_Adult,8,18)</f>
        <v>0</v>
      </c>
      <c r="X12" s="234">
        <f t="shared" si="7"/>
        <v>0</v>
      </c>
      <c r="Y12" s="138">
        <f>INDEX(Q3_Adult,8,19)</f>
        <v>0</v>
      </c>
      <c r="Z12" s="83">
        <f>INDEX(Q3_Adult,8,21)</f>
        <v>0.02</v>
      </c>
      <c r="AA12" s="84">
        <f>INDEX(Q3_Adult,8,22)</f>
        <v>0.03</v>
      </c>
    </row>
    <row r="13" spans="1:28" s="13" customFormat="1" ht="21.75" customHeight="1" thickTop="1" thickBot="1" x14ac:dyDescent="0.4">
      <c r="B13" s="32" t="s">
        <v>199</v>
      </c>
      <c r="C13" s="32" t="s">
        <v>24</v>
      </c>
      <c r="D13" s="74">
        <v>3</v>
      </c>
      <c r="E13" s="32" t="s">
        <v>26</v>
      </c>
      <c r="F13" s="82">
        <f>INDEX(Q3_Adult,9,7)</f>
        <v>0</v>
      </c>
      <c r="G13" s="88">
        <f>INDEX(Q3_Adult,9,8)</f>
        <v>0</v>
      </c>
      <c r="H13" s="238">
        <f>INDEX(Q3_Adult,9,9)</f>
        <v>0</v>
      </c>
      <c r="I13" s="239">
        <f t="shared" si="0"/>
        <v>0</v>
      </c>
      <c r="J13" s="240">
        <f>INDEX(Q3_Adult,9,10)</f>
        <v>0</v>
      </c>
      <c r="K13" s="239">
        <f t="shared" si="1"/>
        <v>0</v>
      </c>
      <c r="L13" s="240">
        <f>INDEX(Q3_Adult,9,11)</f>
        <v>0</v>
      </c>
      <c r="M13" s="239">
        <f t="shared" si="2"/>
        <v>0</v>
      </c>
      <c r="N13" s="240">
        <f>INDEX(Q3_Adult,9,12)</f>
        <v>0</v>
      </c>
      <c r="O13" s="239">
        <f t="shared" si="3"/>
        <v>0</v>
      </c>
      <c r="P13" s="241">
        <f>INDEX(Q3_Adult,9,13)</f>
        <v>0</v>
      </c>
      <c r="Q13" s="242">
        <f>INDEX(Q3_Adult,9,15)</f>
        <v>0</v>
      </c>
      <c r="R13" s="239">
        <f t="shared" si="4"/>
        <v>0</v>
      </c>
      <c r="S13" s="240">
        <f>INDEX(Q3_Adult,9,16)</f>
        <v>0</v>
      </c>
      <c r="T13" s="239">
        <f t="shared" si="5"/>
        <v>0</v>
      </c>
      <c r="U13" s="243">
        <f>INDEX(Q3_Adult,9,17)</f>
        <v>0</v>
      </c>
      <c r="V13" s="239">
        <f t="shared" si="6"/>
        <v>0</v>
      </c>
      <c r="W13" s="240">
        <f>INDEX(Q3_Adult,9,18)</f>
        <v>0</v>
      </c>
      <c r="X13" s="239">
        <f t="shared" si="7"/>
        <v>0</v>
      </c>
      <c r="Y13" s="139">
        <f>INDEX(Q3_Adult,9,19)</f>
        <v>0</v>
      </c>
      <c r="Z13" s="85">
        <f>INDEX(Q3_Adult,9,21)</f>
        <v>0</v>
      </c>
      <c r="AA13" s="86">
        <f>INDEX(Q3_Adult,9,22)</f>
        <v>0</v>
      </c>
    </row>
    <row r="14" spans="1:28" s="13" customFormat="1" ht="21.75" customHeight="1" thickTop="1" thickBot="1" x14ac:dyDescent="0.4">
      <c r="B14" s="31" t="s">
        <v>202</v>
      </c>
      <c r="C14" s="31" t="s">
        <v>24</v>
      </c>
      <c r="D14" s="73">
        <v>3</v>
      </c>
      <c r="E14" s="31" t="s">
        <v>26</v>
      </c>
      <c r="F14" s="81">
        <f>INDEX(Q3_Adult,10,7)</f>
        <v>0</v>
      </c>
      <c r="G14" s="87">
        <f>INDEX(Q3_Adult,10,8)</f>
        <v>12</v>
      </c>
      <c r="H14" s="244">
        <f>INDEX(Q3_Adult,10,9)</f>
        <v>0</v>
      </c>
      <c r="I14" s="234">
        <f t="shared" si="0"/>
        <v>0</v>
      </c>
      <c r="J14" s="235">
        <f>INDEX(Q3_Adult,10,10)</f>
        <v>0</v>
      </c>
      <c r="K14" s="234">
        <f t="shared" si="1"/>
        <v>0</v>
      </c>
      <c r="L14" s="235">
        <f>INDEX(Q3_Adult,10,11)</f>
        <v>0</v>
      </c>
      <c r="M14" s="234">
        <f t="shared" si="2"/>
        <v>0</v>
      </c>
      <c r="N14" s="235">
        <f>INDEX(Q3_Adult,10,12)</f>
        <v>0</v>
      </c>
      <c r="O14" s="234">
        <f t="shared" si="3"/>
        <v>0</v>
      </c>
      <c r="P14" s="236">
        <f>INDEX(Q3_Adult,10,13)</f>
        <v>0</v>
      </c>
      <c r="Q14" s="233">
        <f>INDEX(Q3_Adult,10,15)</f>
        <v>22</v>
      </c>
      <c r="R14" s="234">
        <f t="shared" si="4"/>
        <v>0.14864864864864866</v>
      </c>
      <c r="S14" s="235">
        <f>INDEX(Q3_Adult,10,16)</f>
        <v>36</v>
      </c>
      <c r="T14" s="234">
        <f t="shared" si="5"/>
        <v>0.24324324324324326</v>
      </c>
      <c r="U14" s="237">
        <f>INDEX(Q3_Adult,10,17)</f>
        <v>80</v>
      </c>
      <c r="V14" s="234">
        <f t="shared" si="6"/>
        <v>0.54054054054054057</v>
      </c>
      <c r="W14" s="235">
        <f>INDEX(Q3_Adult,10,18)</f>
        <v>10</v>
      </c>
      <c r="X14" s="234">
        <f t="shared" si="7"/>
        <v>6.7567567567567571E-2</v>
      </c>
      <c r="Y14" s="138">
        <f>INDEX(Q3_Adult,10,19)</f>
        <v>148</v>
      </c>
      <c r="Z14" s="83">
        <f>INDEX(Q3_Adult,10,21)</f>
        <v>0</v>
      </c>
      <c r="AA14" s="84">
        <f>INDEX(Q3_Adult,10,22)</f>
        <v>0.08</v>
      </c>
    </row>
    <row r="15" spans="1:28" s="13" customFormat="1" ht="21.75" customHeight="1" thickTop="1" thickBot="1" x14ac:dyDescent="0.4">
      <c r="B15" s="32" t="s">
        <v>203</v>
      </c>
      <c r="C15" s="32" t="s">
        <v>24</v>
      </c>
      <c r="D15" s="74">
        <v>3</v>
      </c>
      <c r="E15" s="32" t="s">
        <v>26</v>
      </c>
      <c r="F15" s="82">
        <f>INDEX(Q3_Adult,11,7)</f>
        <v>0</v>
      </c>
      <c r="G15" s="88">
        <f>INDEX(Q3_Adult,11,8)</f>
        <v>0</v>
      </c>
      <c r="H15" s="238">
        <f>INDEX(Q3_Adult,11,9)</f>
        <v>0</v>
      </c>
      <c r="I15" s="239">
        <f t="shared" si="0"/>
        <v>0</v>
      </c>
      <c r="J15" s="240">
        <f>INDEX(Q3_Adult,11,10)</f>
        <v>0</v>
      </c>
      <c r="K15" s="239">
        <f t="shared" si="1"/>
        <v>0</v>
      </c>
      <c r="L15" s="240">
        <f>INDEX(Q3_Adult,11,11)</f>
        <v>0</v>
      </c>
      <c r="M15" s="239">
        <f t="shared" si="2"/>
        <v>0</v>
      </c>
      <c r="N15" s="240">
        <f>INDEX(Q3_Adult,11,12)</f>
        <v>0</v>
      </c>
      <c r="O15" s="239">
        <f t="shared" si="3"/>
        <v>0</v>
      </c>
      <c r="P15" s="241">
        <f>INDEX(Q3_Adult,11,13)</f>
        <v>0</v>
      </c>
      <c r="Q15" s="242">
        <f>INDEX(Q3_Adult,11,15)</f>
        <v>1</v>
      </c>
      <c r="R15" s="239">
        <f t="shared" si="4"/>
        <v>1</v>
      </c>
      <c r="S15" s="240">
        <f>INDEX(Q3_Adult,11,16)</f>
        <v>0</v>
      </c>
      <c r="T15" s="239">
        <f t="shared" si="5"/>
        <v>0</v>
      </c>
      <c r="U15" s="243">
        <f>INDEX(Q3_Adult,11,17)</f>
        <v>0</v>
      </c>
      <c r="V15" s="239">
        <f t="shared" si="6"/>
        <v>0</v>
      </c>
      <c r="W15" s="240">
        <f>INDEX(Q3_Adult,11,18)</f>
        <v>0</v>
      </c>
      <c r="X15" s="239">
        <f t="shared" si="7"/>
        <v>0</v>
      </c>
      <c r="Y15" s="139">
        <f>INDEX(Q3_Adult,11,19)</f>
        <v>1</v>
      </c>
      <c r="Z15" s="85">
        <f>INDEX(Q3_Adult,11,21)</f>
        <v>0</v>
      </c>
      <c r="AA15" s="86">
        <f>INDEX(Q3_Adult,11,22)</f>
        <v>0.37</v>
      </c>
    </row>
    <row r="16" spans="1:28" s="13" customFormat="1" ht="21.75" customHeight="1" thickTop="1" thickBot="1" x14ac:dyDescent="0.4">
      <c r="B16" s="31" t="s">
        <v>200</v>
      </c>
      <c r="C16" s="31" t="s">
        <v>24</v>
      </c>
      <c r="D16" s="73">
        <v>3</v>
      </c>
      <c r="E16" s="31" t="s">
        <v>26</v>
      </c>
      <c r="F16" s="81" t="str">
        <f>INDEX(Q3_Adult,12,7)</f>
        <v>No data</v>
      </c>
      <c r="G16" s="87" t="str">
        <f>INDEX(Q3_Adult,12,8)</f>
        <v>No data</v>
      </c>
      <c r="H16" s="244">
        <f>INDEX(Q3_Adult,12,9)</f>
        <v>0</v>
      </c>
      <c r="I16" s="234">
        <f t="shared" si="0"/>
        <v>0</v>
      </c>
      <c r="J16" s="235">
        <f>INDEX(Q3_Adult,12,10)</f>
        <v>0</v>
      </c>
      <c r="K16" s="234">
        <f t="shared" si="1"/>
        <v>0</v>
      </c>
      <c r="L16" s="235">
        <f>INDEX(Q3_Adult,12,11)</f>
        <v>0</v>
      </c>
      <c r="M16" s="234">
        <f t="shared" si="2"/>
        <v>0</v>
      </c>
      <c r="N16" s="235">
        <f>INDEX(Q3_Adult,12,12)</f>
        <v>0</v>
      </c>
      <c r="O16" s="234">
        <f t="shared" si="3"/>
        <v>0</v>
      </c>
      <c r="P16" s="236">
        <f>INDEX(Q3_Adult,12,13)</f>
        <v>0</v>
      </c>
      <c r="Q16" s="233">
        <f>INDEX(Q3_Adult,12,15)</f>
        <v>13</v>
      </c>
      <c r="R16" s="234">
        <f t="shared" si="4"/>
        <v>0.11016949152542373</v>
      </c>
      <c r="S16" s="235">
        <f>INDEX(Q3_Adult,12,16)</f>
        <v>7</v>
      </c>
      <c r="T16" s="234">
        <f t="shared" si="5"/>
        <v>5.9322033898305086E-2</v>
      </c>
      <c r="U16" s="237">
        <f>INDEX(Q3_Adult,12,17)</f>
        <v>34</v>
      </c>
      <c r="V16" s="234">
        <f t="shared" si="6"/>
        <v>0.28813559322033899</v>
      </c>
      <c r="W16" s="235">
        <f>INDEX(Q3_Adult,12,18)</f>
        <v>64</v>
      </c>
      <c r="X16" s="234">
        <f t="shared" si="7"/>
        <v>0.5423728813559322</v>
      </c>
      <c r="Y16" s="138">
        <f>INDEX(Q3_Adult,12,19)</f>
        <v>118</v>
      </c>
      <c r="Z16" s="83">
        <f>INDEX(Q3_Adult,12,21)</f>
        <v>0</v>
      </c>
      <c r="AA16" s="84">
        <f>INDEX(Q3_Adult,12,22)</f>
        <v>0</v>
      </c>
    </row>
    <row r="17" spans="2:27" s="13" customFormat="1" ht="21.75" customHeight="1" thickTop="1" thickBot="1" x14ac:dyDescent="0.4">
      <c r="B17" s="32" t="s">
        <v>82</v>
      </c>
      <c r="C17" s="32" t="s">
        <v>24</v>
      </c>
      <c r="D17" s="74">
        <v>3</v>
      </c>
      <c r="E17" s="32" t="s">
        <v>25</v>
      </c>
      <c r="F17" s="82" t="str">
        <f>INDEX(Q3_Adult,13,7)</f>
        <v>No data</v>
      </c>
      <c r="G17" s="88" t="str">
        <f>INDEX(Q3_Adult,13,8)</f>
        <v>No data</v>
      </c>
      <c r="H17" s="238" t="str">
        <f>INDEX(Q3_Adult,13,9)</f>
        <v>No data</v>
      </c>
      <c r="I17" s="239">
        <f t="shared" si="0"/>
        <v>0</v>
      </c>
      <c r="J17" s="240" t="str">
        <f>INDEX(Q3_Adult,13,10)</f>
        <v>No data</v>
      </c>
      <c r="K17" s="239">
        <f t="shared" si="1"/>
        <v>0</v>
      </c>
      <c r="L17" s="240" t="str">
        <f>INDEX(Q3_Adult,13,11)</f>
        <v>No data</v>
      </c>
      <c r="M17" s="239">
        <f t="shared" si="2"/>
        <v>0</v>
      </c>
      <c r="N17" s="240" t="str">
        <f>INDEX(Q3_Adult,13,12)</f>
        <v>No data</v>
      </c>
      <c r="O17" s="239">
        <f t="shared" si="3"/>
        <v>0</v>
      </c>
      <c r="P17" s="241" t="str">
        <f>INDEX(Q3_Adult,13,13)</f>
        <v>No data</v>
      </c>
      <c r="Q17" s="242" t="str">
        <f>INDEX(Q3_Adult,13,15)</f>
        <v>No data</v>
      </c>
      <c r="R17" s="239">
        <f t="shared" si="4"/>
        <v>0</v>
      </c>
      <c r="S17" s="240" t="str">
        <f>INDEX(Q3_Adult,13,16)</f>
        <v>No data</v>
      </c>
      <c r="T17" s="239">
        <f t="shared" si="5"/>
        <v>0</v>
      </c>
      <c r="U17" s="243" t="str">
        <f>INDEX(Q3_Adult,13,17)</f>
        <v>No data</v>
      </c>
      <c r="V17" s="239">
        <f t="shared" si="6"/>
        <v>0</v>
      </c>
      <c r="W17" s="240" t="str">
        <f>INDEX(Q3_Adult,13,18)</f>
        <v>No data</v>
      </c>
      <c r="X17" s="239">
        <f t="shared" si="7"/>
        <v>0</v>
      </c>
      <c r="Y17" s="139" t="str">
        <f>INDEX(Q3_Adult,13,19)</f>
        <v>No data</v>
      </c>
      <c r="Z17" s="85" t="str">
        <f>INDEX(Q3_Adult,13,21)</f>
        <v>No data</v>
      </c>
      <c r="AA17" s="86" t="str">
        <f>INDEX(Q3_Adult,13,22)</f>
        <v>No data</v>
      </c>
    </row>
    <row r="18" spans="2:27" s="13" customFormat="1" ht="21.75" customHeight="1" thickTop="1" thickBot="1" x14ac:dyDescent="0.4">
      <c r="B18" s="31" t="s">
        <v>83</v>
      </c>
      <c r="C18" s="31" t="s">
        <v>24</v>
      </c>
      <c r="D18" s="73">
        <v>3</v>
      </c>
      <c r="E18" s="31" t="s">
        <v>25</v>
      </c>
      <c r="F18" s="81" t="str">
        <f>INDEX(Q3_Adult,14,7)</f>
        <v>No data</v>
      </c>
      <c r="G18" s="87" t="str">
        <f>INDEX(Q3_Adult,14,8)</f>
        <v>No data</v>
      </c>
      <c r="H18" s="244" t="str">
        <f>INDEX(Q3_Adult,14,9)</f>
        <v>No data</v>
      </c>
      <c r="I18" s="234">
        <f t="shared" si="0"/>
        <v>0</v>
      </c>
      <c r="J18" s="235" t="str">
        <f>INDEX(Q3_Adult,14,10)</f>
        <v>No data</v>
      </c>
      <c r="K18" s="234">
        <f t="shared" si="1"/>
        <v>0</v>
      </c>
      <c r="L18" s="235" t="str">
        <f>INDEX(Q3_Adult,14,11)</f>
        <v>No data</v>
      </c>
      <c r="M18" s="234">
        <f t="shared" si="2"/>
        <v>0</v>
      </c>
      <c r="N18" s="235" t="str">
        <f>INDEX(Q3_Adult,14,12)</f>
        <v>No data</v>
      </c>
      <c r="O18" s="234">
        <f t="shared" si="3"/>
        <v>0</v>
      </c>
      <c r="P18" s="236" t="str">
        <f>INDEX(Q3_Adult,14,13)</f>
        <v>No data</v>
      </c>
      <c r="Q18" s="233" t="str">
        <f>INDEX(Q3_Adult,14,15)</f>
        <v>No data</v>
      </c>
      <c r="R18" s="234">
        <f t="shared" si="4"/>
        <v>0</v>
      </c>
      <c r="S18" s="235" t="str">
        <f>INDEX(Q3_Adult,14,16)</f>
        <v>No data</v>
      </c>
      <c r="T18" s="234">
        <f t="shared" si="5"/>
        <v>0</v>
      </c>
      <c r="U18" s="237" t="str">
        <f>INDEX(Q3_Adult,14,17)</f>
        <v>No data</v>
      </c>
      <c r="V18" s="234">
        <f t="shared" si="6"/>
        <v>0</v>
      </c>
      <c r="W18" s="235" t="str">
        <f>INDEX(Q3_Adult,14,18)</f>
        <v>No data</v>
      </c>
      <c r="X18" s="234">
        <f t="shared" si="7"/>
        <v>0</v>
      </c>
      <c r="Y18" s="138" t="str">
        <f>INDEX(Q3_Adult,14,19)</f>
        <v>No data</v>
      </c>
      <c r="Z18" s="83" t="str">
        <f>INDEX(Q3_Adult,14,21)</f>
        <v>No data</v>
      </c>
      <c r="AA18" s="84" t="str">
        <f>INDEX(Q3_Adult,14,22)</f>
        <v>No data</v>
      </c>
    </row>
    <row r="19" spans="2:27" s="13" customFormat="1" ht="21.75" customHeight="1" thickTop="1" thickBot="1" x14ac:dyDescent="0.4">
      <c r="B19" s="32" t="s">
        <v>84</v>
      </c>
      <c r="C19" s="32" t="s">
        <v>24</v>
      </c>
      <c r="D19" s="74">
        <v>3</v>
      </c>
      <c r="E19" s="32" t="s">
        <v>25</v>
      </c>
      <c r="F19" s="82" t="str">
        <f>INDEX(Q3_Adult,16,7)</f>
        <v>No data</v>
      </c>
      <c r="G19" s="88" t="str">
        <f>INDEX(Q3_Adult,16,8)</f>
        <v>No data</v>
      </c>
      <c r="H19" s="238" t="str">
        <f>INDEX(Q3_Adult,16,9)</f>
        <v>No data</v>
      </c>
      <c r="I19" s="239">
        <f t="shared" si="0"/>
        <v>0</v>
      </c>
      <c r="J19" s="240" t="str">
        <f>INDEX(Q3_Adult,16,10)</f>
        <v>No data</v>
      </c>
      <c r="K19" s="239">
        <f t="shared" si="1"/>
        <v>0</v>
      </c>
      <c r="L19" s="240" t="str">
        <f>INDEX(Q3_Adult,16,11)</f>
        <v>No data</v>
      </c>
      <c r="M19" s="239">
        <f t="shared" si="2"/>
        <v>0</v>
      </c>
      <c r="N19" s="240" t="str">
        <f>INDEX(Q3_Adult,16,12)</f>
        <v>No data</v>
      </c>
      <c r="O19" s="239">
        <f t="shared" si="3"/>
        <v>0</v>
      </c>
      <c r="P19" s="241" t="str">
        <f>INDEX(Q3_Adult,16,13)</f>
        <v>No data</v>
      </c>
      <c r="Q19" s="242" t="str">
        <f>INDEX(Q3_Adult,16,15)</f>
        <v>No data</v>
      </c>
      <c r="R19" s="239">
        <f t="shared" si="4"/>
        <v>0</v>
      </c>
      <c r="S19" s="240" t="str">
        <f>INDEX(Q3_Adult,16,16)</f>
        <v>No data</v>
      </c>
      <c r="T19" s="239">
        <f t="shared" si="5"/>
        <v>0</v>
      </c>
      <c r="U19" s="243" t="str">
        <f>INDEX(Q3_Adult,16,17)</f>
        <v>No data</v>
      </c>
      <c r="V19" s="239">
        <f t="shared" si="6"/>
        <v>0</v>
      </c>
      <c r="W19" s="240" t="str">
        <f>INDEX(Q3_Adult,16,18)</f>
        <v>No data</v>
      </c>
      <c r="X19" s="239">
        <f t="shared" si="7"/>
        <v>0</v>
      </c>
      <c r="Y19" s="139" t="str">
        <f>INDEX(Q3_Adult,16,19)</f>
        <v>No data</v>
      </c>
      <c r="Z19" s="85" t="str">
        <f>INDEX(Q3_Adult,16,21)</f>
        <v>No data</v>
      </c>
      <c r="AA19" s="86" t="str">
        <f>INDEX(Q3_Adult,16,22)</f>
        <v>No data</v>
      </c>
    </row>
    <row r="20" spans="2:27" s="13" customFormat="1" ht="21.75" customHeight="1" thickTop="1" thickBot="1" x14ac:dyDescent="0.4">
      <c r="B20" s="31" t="s">
        <v>74</v>
      </c>
      <c r="C20" s="31" t="s">
        <v>24</v>
      </c>
      <c r="D20" s="73">
        <v>3</v>
      </c>
      <c r="E20" s="31" t="s">
        <v>25</v>
      </c>
      <c r="F20" s="81">
        <f>INDEX(Q3_Adult,17,7)</f>
        <v>10</v>
      </c>
      <c r="G20" s="87">
        <f>INDEX(Q3_Adult,17,8)</f>
        <v>10</v>
      </c>
      <c r="H20" s="244">
        <f>INDEX(Q3_Adult,17,9)</f>
        <v>10</v>
      </c>
      <c r="I20" s="234">
        <f t="shared" si="0"/>
        <v>0.15873015873015872</v>
      </c>
      <c r="J20" s="235">
        <f>INDEX(Q3_Adult,17,10)</f>
        <v>8</v>
      </c>
      <c r="K20" s="234">
        <f t="shared" si="1"/>
        <v>0.12698412698412698</v>
      </c>
      <c r="L20" s="235">
        <f>INDEX(Q3_Adult,17,11)</f>
        <v>28</v>
      </c>
      <c r="M20" s="234">
        <f t="shared" si="2"/>
        <v>0.44444444444444442</v>
      </c>
      <c r="N20" s="235">
        <f>INDEX(Q3_Adult,17,12)</f>
        <v>17</v>
      </c>
      <c r="O20" s="234">
        <f t="shared" si="3"/>
        <v>0.26984126984126983</v>
      </c>
      <c r="P20" s="236">
        <f>INDEX(Q3_Adult,17,13)</f>
        <v>63</v>
      </c>
      <c r="Q20" s="233">
        <f>INDEX(Q3_Adult,17,15)</f>
        <v>10</v>
      </c>
      <c r="R20" s="234">
        <f t="shared" si="4"/>
        <v>0.15873015873015872</v>
      </c>
      <c r="S20" s="235">
        <f>INDEX(Q3_Adult,17,16)</f>
        <v>8</v>
      </c>
      <c r="T20" s="234">
        <f t="shared" si="5"/>
        <v>0.12698412698412698</v>
      </c>
      <c r="U20" s="237">
        <f>INDEX(Q3_Adult,17,17)</f>
        <v>28</v>
      </c>
      <c r="V20" s="234">
        <f t="shared" si="6"/>
        <v>0.44444444444444442</v>
      </c>
      <c r="W20" s="235">
        <f>INDEX(Q3_Adult,17,18)</f>
        <v>17</v>
      </c>
      <c r="X20" s="234">
        <f t="shared" si="7"/>
        <v>0.26984126984126983</v>
      </c>
      <c r="Y20" s="138">
        <f>INDEX(Q3_Adult,17,19)</f>
        <v>63</v>
      </c>
      <c r="Z20" s="83">
        <f>INDEX(Q3_Adult,17,21)</f>
        <v>0.06</v>
      </c>
      <c r="AA20" s="84">
        <f>INDEX(Q3_Adult,17,22)</f>
        <v>0.06</v>
      </c>
    </row>
    <row r="21" spans="2:27" s="13" customFormat="1" ht="21.75" customHeight="1" thickTop="1" thickBot="1" x14ac:dyDescent="0.4">
      <c r="B21" s="32" t="s">
        <v>86</v>
      </c>
      <c r="C21" s="32" t="s">
        <v>24</v>
      </c>
      <c r="D21" s="74">
        <v>3</v>
      </c>
      <c r="E21" s="32" t="s">
        <v>25</v>
      </c>
      <c r="F21" s="82">
        <f>INDEX(Q3_Adult,18,7)</f>
        <v>26</v>
      </c>
      <c r="G21" s="88">
        <f>INDEX(Q3_Adult,18,8)</f>
        <v>0</v>
      </c>
      <c r="H21" s="238">
        <f>INDEX(Q3_Adult,18,9)</f>
        <v>219</v>
      </c>
      <c r="I21" s="239">
        <f t="shared" si="0"/>
        <v>0.40036563071297987</v>
      </c>
      <c r="J21" s="240">
        <f>INDEX(Q3_Adult,18,10)</f>
        <v>123</v>
      </c>
      <c r="K21" s="239">
        <f t="shared" si="1"/>
        <v>0.22486288848263253</v>
      </c>
      <c r="L21" s="240">
        <f>INDEX(Q3_Adult,18,11)</f>
        <v>245</v>
      </c>
      <c r="M21" s="239">
        <f t="shared" si="2"/>
        <v>0.44789762340036565</v>
      </c>
      <c r="N21" s="240">
        <f>INDEX(Q3_Adult,18,12)</f>
        <v>179</v>
      </c>
      <c r="O21" s="239">
        <f t="shared" si="3"/>
        <v>0.32723948811700182</v>
      </c>
      <c r="P21" s="241">
        <f>INDEX(Q3_Adult,18,13)</f>
        <v>547</v>
      </c>
      <c r="Q21" s="242">
        <f>INDEX(Q3_Adult,18,15)</f>
        <v>0</v>
      </c>
      <c r="R21" s="239">
        <f t="shared" si="4"/>
        <v>0</v>
      </c>
      <c r="S21" s="240">
        <f>INDEX(Q3_Adult,18,16)</f>
        <v>0</v>
      </c>
      <c r="T21" s="239">
        <f t="shared" si="5"/>
        <v>0</v>
      </c>
      <c r="U21" s="243">
        <f>INDEX(Q3_Adult,18,17)</f>
        <v>0</v>
      </c>
      <c r="V21" s="239">
        <f t="shared" si="6"/>
        <v>0</v>
      </c>
      <c r="W21" s="240">
        <f>INDEX(Q3_Adult,18,18)</f>
        <v>0</v>
      </c>
      <c r="X21" s="239">
        <f t="shared" si="7"/>
        <v>0</v>
      </c>
      <c r="Y21" s="139">
        <f>INDEX(Q3_Adult,18,19)</f>
        <v>0</v>
      </c>
      <c r="Z21" s="85">
        <f>INDEX(Q3_Adult,18,21)</f>
        <v>0.08</v>
      </c>
      <c r="AA21" s="86">
        <f>INDEX(Q3_Adult,18,22)</f>
        <v>0</v>
      </c>
    </row>
    <row r="22" spans="2:27" s="13" customFormat="1" ht="21.75" customHeight="1" thickTop="1" thickBot="1" x14ac:dyDescent="0.4">
      <c r="B22" s="31" t="s">
        <v>60</v>
      </c>
      <c r="C22" s="31" t="s">
        <v>24</v>
      </c>
      <c r="D22" s="73">
        <v>3</v>
      </c>
      <c r="E22" s="31" t="s">
        <v>25</v>
      </c>
      <c r="F22" s="81" t="str">
        <f>INDEX(Q3_Adult,19,7)</f>
        <v>No data</v>
      </c>
      <c r="G22" s="87" t="str">
        <f>INDEX(Q3_Adult,19,8)</f>
        <v>No data</v>
      </c>
      <c r="H22" s="244" t="str">
        <f>INDEX(Q3_Adult,19,9)</f>
        <v>No data</v>
      </c>
      <c r="I22" s="234">
        <f t="shared" si="0"/>
        <v>0</v>
      </c>
      <c r="J22" s="235" t="str">
        <f>INDEX(Q3_Adult,19,10)</f>
        <v>No data</v>
      </c>
      <c r="K22" s="234">
        <f t="shared" si="1"/>
        <v>0</v>
      </c>
      <c r="L22" s="235" t="str">
        <f>INDEX(Q3_Adult,19,11)</f>
        <v>No data</v>
      </c>
      <c r="M22" s="234">
        <f t="shared" si="2"/>
        <v>0</v>
      </c>
      <c r="N22" s="235" t="str">
        <f>INDEX(Q3_Adult,19,12)</f>
        <v>No data</v>
      </c>
      <c r="O22" s="234">
        <f t="shared" si="3"/>
        <v>0</v>
      </c>
      <c r="P22" s="236" t="str">
        <f>INDEX(Q3_Adult,19,13)</f>
        <v>No data</v>
      </c>
      <c r="Q22" s="233" t="str">
        <f>INDEX(Q3_Adult,19,15)</f>
        <v>No data</v>
      </c>
      <c r="R22" s="234">
        <f t="shared" si="4"/>
        <v>0</v>
      </c>
      <c r="S22" s="235" t="str">
        <f>INDEX(Q3_Adult,19,16)</f>
        <v>No data</v>
      </c>
      <c r="T22" s="234">
        <f t="shared" si="5"/>
        <v>0</v>
      </c>
      <c r="U22" s="237" t="str">
        <f>INDEX(Q3_Adult,19,17)</f>
        <v>No data</v>
      </c>
      <c r="V22" s="234">
        <f t="shared" si="6"/>
        <v>0</v>
      </c>
      <c r="W22" s="235" t="str">
        <f>INDEX(Q3_Adult,19,18)</f>
        <v>No data</v>
      </c>
      <c r="X22" s="234">
        <f t="shared" si="7"/>
        <v>0</v>
      </c>
      <c r="Y22" s="138" t="str">
        <f>INDEX(Q3_Adult,19,19)</f>
        <v>No data</v>
      </c>
      <c r="Z22" s="83" t="str">
        <f>INDEX(Q3_Adult,19,21)</f>
        <v>No data</v>
      </c>
      <c r="AA22" s="84" t="str">
        <f>INDEX(Q3_Adult,19,22)</f>
        <v>No data</v>
      </c>
    </row>
    <row r="23" spans="2:27" s="13" customFormat="1" ht="21.75" customHeight="1" thickTop="1" thickBot="1" x14ac:dyDescent="0.4">
      <c r="B23" s="32" t="s">
        <v>75</v>
      </c>
      <c r="C23" s="32" t="s">
        <v>24</v>
      </c>
      <c r="D23" s="74">
        <v>3</v>
      </c>
      <c r="E23" s="32" t="s">
        <v>25</v>
      </c>
      <c r="F23" s="82">
        <f>INDEX(Q3_Adult,20,7)</f>
        <v>8</v>
      </c>
      <c r="G23" s="88">
        <f>INDEX(Q3_Adult,20,8)</f>
        <v>8</v>
      </c>
      <c r="H23" s="238">
        <f>INDEX(Q3_Adult,20,9)</f>
        <v>11</v>
      </c>
      <c r="I23" s="239">
        <f t="shared" si="0"/>
        <v>0.7857142857142857</v>
      </c>
      <c r="J23" s="240">
        <f>INDEX(Q3_Adult,20,10)</f>
        <v>3</v>
      </c>
      <c r="K23" s="239">
        <f t="shared" si="1"/>
        <v>0.21428571428571427</v>
      </c>
      <c r="L23" s="240">
        <f>INDEX(Q3_Adult,20,11)</f>
        <v>0</v>
      </c>
      <c r="M23" s="239">
        <f t="shared" si="2"/>
        <v>0</v>
      </c>
      <c r="N23" s="240">
        <f>INDEX(Q3_Adult,20,12)</f>
        <v>0</v>
      </c>
      <c r="O23" s="239">
        <f t="shared" si="3"/>
        <v>0</v>
      </c>
      <c r="P23" s="241">
        <f>INDEX(Q3_Adult,20,13)</f>
        <v>14</v>
      </c>
      <c r="Q23" s="242">
        <f>INDEX(Q3_Adult,20,15)</f>
        <v>15</v>
      </c>
      <c r="R23" s="239">
        <f t="shared" si="4"/>
        <v>0.35714285714285715</v>
      </c>
      <c r="S23" s="240">
        <f>INDEX(Q3_Adult,20,16)</f>
        <v>11</v>
      </c>
      <c r="T23" s="239">
        <f t="shared" si="5"/>
        <v>0.26190476190476192</v>
      </c>
      <c r="U23" s="243">
        <f>INDEX(Q3_Adult,20,17)</f>
        <v>16</v>
      </c>
      <c r="V23" s="239">
        <f t="shared" si="6"/>
        <v>0.38095238095238093</v>
      </c>
      <c r="W23" s="240">
        <f>INDEX(Q3_Adult,20,18)</f>
        <v>0</v>
      </c>
      <c r="X23" s="239">
        <f t="shared" si="7"/>
        <v>0</v>
      </c>
      <c r="Y23" s="139">
        <f>INDEX(Q3_Adult,20,19)</f>
        <v>42</v>
      </c>
      <c r="Z23" s="85">
        <f>INDEX(Q3_Adult,20,21)</f>
        <v>0.19</v>
      </c>
      <c r="AA23" s="86">
        <f>INDEX(Q3_Adult,20,22)</f>
        <v>0.13</v>
      </c>
    </row>
    <row r="24" spans="2:27" s="13" customFormat="1" ht="21.75" customHeight="1" thickTop="1" thickBot="1" x14ac:dyDescent="0.4">
      <c r="B24" s="31" t="s">
        <v>70</v>
      </c>
      <c r="C24" s="31" t="s">
        <v>24</v>
      </c>
      <c r="D24" s="73">
        <v>3</v>
      </c>
      <c r="E24" s="31" t="s">
        <v>25</v>
      </c>
      <c r="F24" s="81">
        <f>INDEX(Q3_Adult,21,7)</f>
        <v>0</v>
      </c>
      <c r="G24" s="87">
        <f>INDEX(Q3_Adult,21,8)</f>
        <v>36</v>
      </c>
      <c r="H24" s="244">
        <f>INDEX(Q3_Adult,21,9)</f>
        <v>9</v>
      </c>
      <c r="I24" s="234">
        <f t="shared" si="0"/>
        <v>0.40909090909090912</v>
      </c>
      <c r="J24" s="235">
        <f>INDEX(Q3_Adult,21,10)</f>
        <v>13</v>
      </c>
      <c r="K24" s="234">
        <f t="shared" si="1"/>
        <v>0.59090909090909094</v>
      </c>
      <c r="L24" s="235">
        <f>INDEX(Q3_Adult,21,11)</f>
        <v>0</v>
      </c>
      <c r="M24" s="234">
        <f t="shared" si="2"/>
        <v>0</v>
      </c>
      <c r="N24" s="235">
        <f>INDEX(Q3_Adult,21,12)</f>
        <v>0</v>
      </c>
      <c r="O24" s="234">
        <f t="shared" si="3"/>
        <v>0</v>
      </c>
      <c r="P24" s="236">
        <f>INDEX(Q3_Adult,21,13)</f>
        <v>22</v>
      </c>
      <c r="Q24" s="233">
        <f>INDEX(Q3_Adult,21,15)</f>
        <v>2</v>
      </c>
      <c r="R24" s="234">
        <f t="shared" si="4"/>
        <v>0.125</v>
      </c>
      <c r="S24" s="235">
        <f>INDEX(Q3_Adult,21,16)</f>
        <v>7</v>
      </c>
      <c r="T24" s="234">
        <f t="shared" si="5"/>
        <v>0.4375</v>
      </c>
      <c r="U24" s="237">
        <f>INDEX(Q3_Adult,21,17)</f>
        <v>7</v>
      </c>
      <c r="V24" s="234">
        <f t="shared" si="6"/>
        <v>0.4375</v>
      </c>
      <c r="W24" s="235">
        <f>INDEX(Q3_Adult,21,18)</f>
        <v>0</v>
      </c>
      <c r="X24" s="234">
        <f t="shared" si="7"/>
        <v>0</v>
      </c>
      <c r="Y24" s="138">
        <f>INDEX(Q3_Adult,21,19)</f>
        <v>16</v>
      </c>
      <c r="Z24" s="83">
        <f>INDEX(Q3_Adult,21,21)</f>
        <v>0.1</v>
      </c>
      <c r="AA24" s="84">
        <f>INDEX(Q3_Adult,21,22)</f>
        <v>0.11</v>
      </c>
    </row>
    <row r="25" spans="2:27" s="13" customFormat="1" ht="21.75" customHeight="1" thickTop="1" thickBot="1" x14ac:dyDescent="0.4">
      <c r="B25" s="32" t="s">
        <v>87</v>
      </c>
      <c r="C25" s="32" t="s">
        <v>24</v>
      </c>
      <c r="D25" s="74">
        <v>3</v>
      </c>
      <c r="E25" s="32" t="s">
        <v>25</v>
      </c>
      <c r="F25" s="82" t="str">
        <f>INDEX(Q3_Adult,22,7)</f>
        <v>No data</v>
      </c>
      <c r="G25" s="88" t="str">
        <f>INDEX(Q3_Adult,22,8)</f>
        <v>No data</v>
      </c>
      <c r="H25" s="238" t="str">
        <f>INDEX(Q3_Adult,22,9)</f>
        <v>No data</v>
      </c>
      <c r="I25" s="239">
        <f t="shared" si="0"/>
        <v>0</v>
      </c>
      <c r="J25" s="240" t="str">
        <f>INDEX(Q3_Adult,22,10)</f>
        <v>No data</v>
      </c>
      <c r="K25" s="239">
        <f t="shared" si="1"/>
        <v>0</v>
      </c>
      <c r="L25" s="240" t="str">
        <f>INDEX(Q3_Adult,22,11)</f>
        <v>No data</v>
      </c>
      <c r="M25" s="239">
        <f t="shared" si="2"/>
        <v>0</v>
      </c>
      <c r="N25" s="240" t="str">
        <f>INDEX(Q3_Adult,22,12)</f>
        <v>No data</v>
      </c>
      <c r="O25" s="239">
        <f t="shared" si="3"/>
        <v>0</v>
      </c>
      <c r="P25" s="241" t="str">
        <f>INDEX(Q3_Adult,22,13)</f>
        <v>No data</v>
      </c>
      <c r="Q25" s="242" t="str">
        <f>INDEX(Q3_Adult,22,15)</f>
        <v>No data</v>
      </c>
      <c r="R25" s="239">
        <f t="shared" si="4"/>
        <v>0</v>
      </c>
      <c r="S25" s="240" t="str">
        <f>INDEX(Q3_Adult,22,16)</f>
        <v>No data</v>
      </c>
      <c r="T25" s="239">
        <f t="shared" si="5"/>
        <v>0</v>
      </c>
      <c r="U25" s="243" t="str">
        <f>INDEX(Q3_Adult,22,17)</f>
        <v>No data</v>
      </c>
      <c r="V25" s="239">
        <f t="shared" si="6"/>
        <v>0</v>
      </c>
      <c r="W25" s="240" t="str">
        <f>INDEX(Q3_Adult,22,18)</f>
        <v>No data</v>
      </c>
      <c r="X25" s="239">
        <f t="shared" si="7"/>
        <v>0</v>
      </c>
      <c r="Y25" s="139" t="str">
        <f>INDEX(Q3_Adult,22,19)</f>
        <v>No data</v>
      </c>
      <c r="Z25" s="85" t="str">
        <f>INDEX(Q3_Adult,22,21)</f>
        <v>No data</v>
      </c>
      <c r="AA25" s="86" t="str">
        <f>INDEX(Q3_Adult,22,22)</f>
        <v>No data</v>
      </c>
    </row>
    <row r="26" spans="2:27" ht="15" thickTop="1" x14ac:dyDescent="0.35">
      <c r="B26" s="21"/>
      <c r="C26" s="21"/>
      <c r="D26" s="21"/>
      <c r="E26" s="21"/>
      <c r="F26" s="20"/>
      <c r="G26" s="20"/>
      <c r="H26" s="144"/>
      <c r="I26" s="20"/>
      <c r="J26" s="144"/>
      <c r="K26" s="20"/>
      <c r="L26" s="144"/>
      <c r="M26" s="20"/>
      <c r="N26" s="144"/>
      <c r="O26" s="20"/>
      <c r="P26" s="20"/>
      <c r="Q26" s="144"/>
      <c r="R26" s="20"/>
      <c r="S26" s="144"/>
      <c r="T26" s="20"/>
      <c r="U26" s="144"/>
      <c r="V26" s="20"/>
      <c r="W26" s="144"/>
      <c r="X26" s="20"/>
      <c r="Y26" s="20"/>
      <c r="Z26" s="20"/>
      <c r="AA26" s="20"/>
    </row>
    <row r="27" spans="2:27" ht="15" thickBot="1" x14ac:dyDescent="0.4">
      <c r="B27" s="21"/>
      <c r="C27" s="21"/>
      <c r="D27" s="21"/>
      <c r="E27" s="21"/>
      <c r="F27" s="20"/>
      <c r="G27" s="20"/>
      <c r="H27" s="144"/>
      <c r="I27" s="20"/>
      <c r="J27" s="144"/>
      <c r="K27" s="20"/>
      <c r="L27" s="144"/>
      <c r="M27" s="20"/>
      <c r="N27" s="144"/>
      <c r="O27" s="20"/>
      <c r="P27" s="20"/>
      <c r="Q27" s="144"/>
      <c r="R27" s="20"/>
      <c r="S27" s="144"/>
      <c r="T27" s="20"/>
      <c r="U27" s="144"/>
      <c r="V27" s="20"/>
      <c r="W27" s="144"/>
      <c r="X27" s="20"/>
      <c r="Y27" s="20"/>
      <c r="Z27" s="20"/>
      <c r="AA27" s="20"/>
    </row>
    <row r="28" spans="2:27" ht="14.5" x14ac:dyDescent="0.35">
      <c r="B28" s="344" t="s">
        <v>112</v>
      </c>
      <c r="C28" s="345" t="s">
        <v>113</v>
      </c>
      <c r="D28" s="346"/>
      <c r="E28" s="347"/>
      <c r="F28" s="354" t="s">
        <v>104</v>
      </c>
      <c r="G28" s="355"/>
      <c r="H28" s="356"/>
      <c r="I28" s="357"/>
      <c r="J28" s="360" t="s">
        <v>110</v>
      </c>
      <c r="K28" s="361"/>
      <c r="L28" s="364" t="s">
        <v>110</v>
      </c>
      <c r="M28" s="365"/>
      <c r="N28" s="368" t="s">
        <v>110</v>
      </c>
      <c r="O28" s="369"/>
      <c r="P28" s="267"/>
      <c r="Q28" s="356"/>
      <c r="R28" s="357"/>
      <c r="S28" s="360" t="s">
        <v>110</v>
      </c>
      <c r="T28" s="361"/>
      <c r="U28" s="364" t="s">
        <v>110</v>
      </c>
      <c r="V28" s="365"/>
      <c r="W28" s="368" t="s">
        <v>110</v>
      </c>
      <c r="X28" s="369"/>
      <c r="Y28" s="153"/>
      <c r="Z28" s="380" t="s">
        <v>107</v>
      </c>
      <c r="AA28" s="355"/>
    </row>
    <row r="29" spans="2:27" ht="14.5" x14ac:dyDescent="0.35">
      <c r="B29" s="344"/>
      <c r="C29" s="348"/>
      <c r="D29" s="349"/>
      <c r="E29" s="350"/>
      <c r="F29" s="381" t="s">
        <v>105</v>
      </c>
      <c r="G29" s="382"/>
      <c r="H29" s="358"/>
      <c r="I29" s="359"/>
      <c r="J29" s="362"/>
      <c r="K29" s="363"/>
      <c r="L29" s="366"/>
      <c r="M29" s="367"/>
      <c r="N29" s="370"/>
      <c r="O29" s="371"/>
      <c r="P29" s="268"/>
      <c r="Q29" s="358"/>
      <c r="R29" s="359"/>
      <c r="S29" s="362"/>
      <c r="T29" s="363"/>
      <c r="U29" s="366"/>
      <c r="V29" s="367"/>
      <c r="W29" s="370"/>
      <c r="X29" s="371"/>
      <c r="Y29" s="154"/>
      <c r="Z29" s="383" t="s">
        <v>108</v>
      </c>
      <c r="AA29" s="382"/>
    </row>
    <row r="30" spans="2:27" ht="15" thickBot="1" x14ac:dyDescent="0.4">
      <c r="B30" s="344"/>
      <c r="C30" s="351"/>
      <c r="D30" s="352"/>
      <c r="E30" s="353"/>
      <c r="F30" s="376" t="s">
        <v>106</v>
      </c>
      <c r="G30" s="377"/>
      <c r="H30" s="378"/>
      <c r="I30" s="379"/>
      <c r="J30" s="384" t="s">
        <v>111</v>
      </c>
      <c r="K30" s="379"/>
      <c r="L30" s="384" t="s">
        <v>111</v>
      </c>
      <c r="M30" s="379"/>
      <c r="N30" s="384" t="s">
        <v>111</v>
      </c>
      <c r="O30" s="379"/>
      <c r="P30" s="265"/>
      <c r="Q30" s="378"/>
      <c r="R30" s="379"/>
      <c r="S30" s="384" t="s">
        <v>111</v>
      </c>
      <c r="T30" s="379"/>
      <c r="U30" s="384" t="s">
        <v>111</v>
      </c>
      <c r="V30" s="379"/>
      <c r="W30" s="384" t="s">
        <v>111</v>
      </c>
      <c r="X30" s="379"/>
      <c r="Y30" s="140"/>
      <c r="Z30" s="385" t="s">
        <v>109</v>
      </c>
      <c r="AA30" s="377"/>
    </row>
    <row r="31" spans="2:27" ht="14.5" x14ac:dyDescent="0.35">
      <c r="B31" s="22"/>
      <c r="C31" s="22"/>
      <c r="D31" s="22"/>
      <c r="E31" s="22"/>
      <c r="F31" s="23"/>
      <c r="G31" s="23"/>
      <c r="H31" s="145"/>
      <c r="I31" s="23"/>
      <c r="J31" s="145"/>
      <c r="K31" s="23"/>
      <c r="L31" s="145"/>
      <c r="M31" s="23"/>
      <c r="N31" s="145"/>
      <c r="O31" s="23"/>
      <c r="P31" s="23"/>
      <c r="Q31" s="145"/>
      <c r="R31" s="23"/>
      <c r="S31" s="145"/>
      <c r="T31" s="23"/>
      <c r="U31" s="145"/>
      <c r="V31" s="23"/>
      <c r="W31" s="145"/>
      <c r="X31" s="23"/>
      <c r="Y31" s="23"/>
      <c r="Z31" s="23"/>
      <c r="AA31" s="24"/>
    </row>
    <row r="32" spans="2:27" ht="14.5" x14ac:dyDescent="0.35">
      <c r="B32" s="20"/>
      <c r="C32" s="20"/>
      <c r="D32" s="20"/>
      <c r="E32" s="20"/>
      <c r="F32" s="25">
        <v>10</v>
      </c>
      <c r="G32" s="25">
        <v>10</v>
      </c>
      <c r="H32" s="146">
        <v>10</v>
      </c>
      <c r="I32" s="25"/>
      <c r="J32" s="146">
        <v>10</v>
      </c>
      <c r="K32" s="25">
        <v>10</v>
      </c>
      <c r="L32" s="146">
        <v>10</v>
      </c>
      <c r="M32" s="25"/>
      <c r="N32" s="146"/>
      <c r="O32" s="25"/>
      <c r="P32" s="25"/>
      <c r="Q32" s="146"/>
      <c r="R32" s="25"/>
      <c r="S32" s="146"/>
      <c r="T32" s="25"/>
      <c r="U32" s="146"/>
      <c r="V32" s="25"/>
      <c r="W32" s="146"/>
      <c r="X32" s="25"/>
      <c r="Y32" s="25"/>
      <c r="Z32" s="25"/>
      <c r="AA32" s="20"/>
    </row>
    <row r="33" spans="2:27" ht="14.5" x14ac:dyDescent="0.35">
      <c r="B33" s="21" t="s">
        <v>19</v>
      </c>
      <c r="C33" s="21"/>
      <c r="D33" s="21"/>
      <c r="E33" s="21"/>
      <c r="F33" s="26"/>
      <c r="G33" s="20"/>
      <c r="H33" s="144"/>
      <c r="I33" s="20"/>
      <c r="J33" s="144"/>
      <c r="K33" s="20"/>
      <c r="L33" s="144"/>
      <c r="M33" s="20"/>
      <c r="N33" s="144"/>
      <c r="O33" s="20"/>
      <c r="P33" s="20"/>
      <c r="Q33" s="144"/>
      <c r="R33" s="20"/>
      <c r="S33" s="144"/>
      <c r="T33" s="20"/>
      <c r="U33" s="144"/>
      <c r="V33" s="20"/>
      <c r="W33" s="144"/>
      <c r="X33" s="20"/>
      <c r="Y33" s="20"/>
      <c r="Z33" s="20"/>
      <c r="AA33" s="20"/>
    </row>
    <row r="34" spans="2:27" ht="14.5" x14ac:dyDescent="0.35">
      <c r="B34" s="27" t="s">
        <v>20</v>
      </c>
      <c r="C34" s="27"/>
      <c r="D34" s="27"/>
      <c r="E34" s="27"/>
      <c r="F34" s="20"/>
      <c r="G34" s="20"/>
      <c r="H34" s="144"/>
      <c r="I34" s="20"/>
      <c r="J34" s="144"/>
      <c r="K34" s="20"/>
      <c r="L34" s="144"/>
      <c r="M34" s="20"/>
      <c r="N34" s="144"/>
      <c r="O34" s="20"/>
      <c r="P34" s="20"/>
      <c r="Q34" s="144"/>
      <c r="R34" s="20"/>
      <c r="S34" s="144"/>
      <c r="T34" s="20"/>
      <c r="U34" s="144"/>
      <c r="V34" s="20"/>
      <c r="W34" s="144"/>
      <c r="X34" s="20"/>
      <c r="Y34" s="20"/>
      <c r="Z34" s="20"/>
      <c r="AA34" s="20"/>
    </row>
    <row r="35" spans="2:27" ht="14.5" x14ac:dyDescent="0.35">
      <c r="B35" s="28"/>
      <c r="C35" s="28"/>
      <c r="D35" s="28"/>
      <c r="E35" s="28"/>
      <c r="F35" s="20"/>
      <c r="G35" s="20"/>
      <c r="H35" s="144"/>
      <c r="I35" s="20"/>
      <c r="J35" s="144"/>
      <c r="K35" s="20"/>
      <c r="L35" s="144"/>
      <c r="M35" s="20"/>
      <c r="N35" s="144"/>
      <c r="O35" s="20"/>
      <c r="P35" s="20"/>
      <c r="Q35" s="144"/>
      <c r="R35" s="20"/>
      <c r="S35" s="144"/>
      <c r="T35" s="20"/>
      <c r="U35" s="144"/>
      <c r="V35" s="20"/>
      <c r="W35" s="144"/>
      <c r="X35" s="20"/>
      <c r="Y35" s="20"/>
      <c r="Z35" s="20"/>
      <c r="AA35" s="20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sheetProtection algorithmName="SHA-512" hashValue="LJURnOjFuLt+HR27DMqhh6jslNDGymo0GswBos15bYRbukLEQimiEeWZG+u3sNhYSHrBUVLTZy3ItxxZBP4GGQ==" saltValue="riDOpPQ0/MbVZrInwbcSbA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115" priority="28" operator="containsText" text="N/A">
      <formula>NOT(ISERROR(SEARCH("N/A",F8)))</formula>
    </cfRule>
    <cfRule type="cellIs" dxfId="114" priority="35" operator="between">
      <formula>0.01</formula>
      <formula>13</formula>
    </cfRule>
    <cfRule type="cellIs" dxfId="113" priority="36" operator="between">
      <formula>13</formula>
      <formula>18</formula>
    </cfRule>
    <cfRule type="cellIs" dxfId="112" priority="37" operator="greaterThan">
      <formula>18</formula>
    </cfRule>
    <cfRule type="cellIs" dxfId="111" priority="38" operator="greaterThan">
      <formula>18</formula>
    </cfRule>
  </conditionalFormatting>
  <conditionalFormatting sqref="T8:T9 K8:K9">
    <cfRule type="cellIs" dxfId="110" priority="34" operator="greaterThan">
      <formula>0.5</formula>
    </cfRule>
  </conditionalFormatting>
  <conditionalFormatting sqref="M8:M9 V8:V9">
    <cfRule type="cellIs" dxfId="109" priority="33" operator="greaterThan">
      <formula>0.49</formula>
    </cfRule>
  </conditionalFormatting>
  <conditionalFormatting sqref="X8:X9 O8:O9">
    <cfRule type="cellIs" dxfId="108" priority="32" operator="greaterThan">
      <formula>0.5</formula>
    </cfRule>
  </conditionalFormatting>
  <conditionalFormatting sqref="Z8:AA9">
    <cfRule type="cellIs" dxfId="107" priority="29" operator="between">
      <formula>0.0001</formula>
      <formula>0.1</formula>
    </cfRule>
    <cfRule type="cellIs" dxfId="106" priority="30" operator="between">
      <formula>0.1</formula>
      <formula>0.19</formula>
    </cfRule>
    <cfRule type="cellIs" dxfId="105" priority="31" operator="greaterThan">
      <formula>0.2</formula>
    </cfRule>
  </conditionalFormatting>
  <conditionalFormatting sqref="J8:J9">
    <cfRule type="expression" dxfId="104" priority="27">
      <formula>($J8/$P8*100)&gt;49.49</formula>
    </cfRule>
  </conditionalFormatting>
  <conditionalFormatting sqref="L8:L9">
    <cfRule type="expression" dxfId="103" priority="26">
      <formula>($L8/$P8*100)&gt;49.49</formula>
    </cfRule>
  </conditionalFormatting>
  <conditionalFormatting sqref="N8:N9">
    <cfRule type="expression" dxfId="102" priority="25">
      <formula>($N8/$P8*100)&gt;49.49</formula>
    </cfRule>
  </conditionalFormatting>
  <conditionalFormatting sqref="S8:S9">
    <cfRule type="expression" dxfId="101" priority="24">
      <formula>($S8/$Y8*100)&gt;49.49</formula>
    </cfRule>
  </conditionalFormatting>
  <conditionalFormatting sqref="U8:U9">
    <cfRule type="expression" dxfId="100" priority="23">
      <formula>($U8/$Y8*100)&gt;49.49</formula>
    </cfRule>
  </conditionalFormatting>
  <conditionalFormatting sqref="W8:W9">
    <cfRule type="expression" dxfId="99" priority="22">
      <formula>($W8/$Y8*100)&gt;49.49</formula>
    </cfRule>
  </conditionalFormatting>
  <conditionalFormatting sqref="L9">
    <cfRule type="expression" dxfId="98" priority="21">
      <formula>"$M$9=&gt;.499"</formula>
    </cfRule>
  </conditionalFormatting>
  <conditionalFormatting sqref="F8:AA9">
    <cfRule type="expression" dxfId="97" priority="20">
      <formula>$F8="No data"</formula>
    </cfRule>
  </conditionalFormatting>
  <conditionalFormatting sqref="F10:G25">
    <cfRule type="containsText" dxfId="96" priority="9" operator="containsText" text="N/A">
      <formula>NOT(ISERROR(SEARCH("N/A",F10)))</formula>
    </cfRule>
    <cfRule type="cellIs" dxfId="95" priority="16" operator="between">
      <formula>0.01</formula>
      <formula>13</formula>
    </cfRule>
    <cfRule type="cellIs" dxfId="94" priority="17" operator="between">
      <formula>13</formula>
      <formula>18</formula>
    </cfRule>
    <cfRule type="cellIs" dxfId="93" priority="18" operator="greaterThan">
      <formula>18</formula>
    </cfRule>
    <cfRule type="cellIs" dxfId="92" priority="19" operator="greaterThan">
      <formula>18</formula>
    </cfRule>
  </conditionalFormatting>
  <conditionalFormatting sqref="T10:T25 K10:K25">
    <cfRule type="cellIs" dxfId="91" priority="15" operator="greaterThan">
      <formula>0.5</formula>
    </cfRule>
  </conditionalFormatting>
  <conditionalFormatting sqref="M10:M25 V10:V25">
    <cfRule type="cellIs" dxfId="90" priority="14" operator="greaterThan">
      <formula>0.49</formula>
    </cfRule>
  </conditionalFormatting>
  <conditionalFormatting sqref="X10:X25 O10:O25">
    <cfRule type="cellIs" dxfId="89" priority="13" operator="greaterThan">
      <formula>0.5</formula>
    </cfRule>
  </conditionalFormatting>
  <conditionalFormatting sqref="Z10:AA25">
    <cfRule type="cellIs" dxfId="88" priority="10" operator="between">
      <formula>0.0001</formula>
      <formula>0.1</formula>
    </cfRule>
    <cfRule type="cellIs" dxfId="87" priority="11" operator="between">
      <formula>0.1</formula>
      <formula>0.19</formula>
    </cfRule>
    <cfRule type="cellIs" dxfId="86" priority="12" operator="greaterThan">
      <formula>0.2</formula>
    </cfRule>
  </conditionalFormatting>
  <conditionalFormatting sqref="J10:J25">
    <cfRule type="expression" dxfId="85" priority="8">
      <formula>($J10/$P10*100)&gt;49.49</formula>
    </cfRule>
  </conditionalFormatting>
  <conditionalFormatting sqref="L10:L25">
    <cfRule type="expression" dxfId="84" priority="7">
      <formula>($L10/$P10*100)&gt;49.49</formula>
    </cfRule>
  </conditionalFormatting>
  <conditionalFormatting sqref="N10:N25">
    <cfRule type="expression" dxfId="83" priority="6">
      <formula>($N10/$P10*100)&gt;49.49</formula>
    </cfRule>
  </conditionalFormatting>
  <conditionalFormatting sqref="S10:S25">
    <cfRule type="expression" dxfId="82" priority="5">
      <formula>($S10/$Y10*100)&gt;49.49</formula>
    </cfRule>
  </conditionalFormatting>
  <conditionalFormatting sqref="U10:U25">
    <cfRule type="expression" dxfId="81" priority="4">
      <formula>($U10/$Y10*100)&gt;49.49</formula>
    </cfRule>
  </conditionalFormatting>
  <conditionalFormatting sqref="W10:W25">
    <cfRule type="expression" dxfId="80" priority="3">
      <formula>($W10/$Y10*100)&gt;49.49</formula>
    </cfRule>
  </conditionalFormatting>
  <conditionalFormatting sqref="L11 L13 L15 L17 L19 L21 L23 L25">
    <cfRule type="expression" dxfId="79" priority="2">
      <formula>"$M$9=&gt;.499"</formula>
    </cfRule>
  </conditionalFormatting>
  <conditionalFormatting sqref="F10:AA25">
    <cfRule type="expression" dxfId="78" priority="1">
      <formula>$F10="No data"</formula>
    </cfRule>
  </conditionalFormatting>
  <hyperlinks>
    <hyperlink ref="C28:E30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Y2D Paeds OP</vt:lpstr>
      <vt:lpstr>Graph data Q3</vt:lpstr>
      <vt:lpstr>Data</vt:lpstr>
      <vt:lpstr>Graph data Q1</vt:lpstr>
      <vt:lpstr>Graph data Q2</vt:lpstr>
      <vt:lpstr>Graph data Q4</vt:lpstr>
      <vt:lpstr>Graph data Y2D</vt:lpstr>
      <vt:lpstr>Control</vt:lpstr>
      <vt:lpstr>AdultChoice</vt:lpstr>
      <vt:lpstr>PaedChoice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  <vt:lpstr>Table1</vt:lpstr>
      <vt:lpstr>Table2</vt:lpstr>
      <vt:lpstr>Table3</vt:lpstr>
      <vt:lpstr>Table4</vt:lpstr>
      <vt:lpstr>Table5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 (PA)</cp:lastModifiedBy>
  <dcterms:created xsi:type="dcterms:W3CDTF">2020-01-30T12:11:21Z</dcterms:created>
  <dcterms:modified xsi:type="dcterms:W3CDTF">2022-03-17T10:38:49Z</dcterms:modified>
</cp:coreProperties>
</file>